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" sheetId="6" r:id="rId6"/>
    <sheet name="2017 рік" sheetId="7" r:id="rId7"/>
    <sheet name="2016 рік" sheetId="8" r:id="rId8"/>
  </sheets>
  <externalReferences>
    <externalReference r:id="rId11"/>
    <externalReference r:id="rId12"/>
    <externalReference r:id="rId13"/>
  </externalReferences>
  <definedNames>
    <definedName name="_xlnm.Print_Area" localSheetId="2">'квітень'!$A$1:$X$109</definedName>
    <definedName name="_xlnm.Print_Area" localSheetId="1">'травень'!$A$1:$Z$110</definedName>
    <definedName name="_xlnm.Print_Area" localSheetId="0">'червень'!$A$1:$Z$110</definedName>
  </definedNames>
  <calcPr fullCalcOnLoad="1"/>
</workbook>
</file>

<file path=xl/sharedStrings.xml><?xml version="1.0" encoding="utf-8"?>
<sst xmlns="http://schemas.openxmlformats.org/spreadsheetml/2006/main" count="1475" uniqueCount="249">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</sst>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3">
        <row r="6">
          <cell r="G6">
            <v>625368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0"/>
  <sheetViews>
    <sheetView tabSelected="1" zoomScale="68" zoomScaleNormal="68" zoomScalePageLayoutView="0" workbookViewId="0" topLeftCell="B1">
      <pane xSplit="3" ySplit="8" topLeftCell="E9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107" sqref="G107:H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247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244</v>
      </c>
      <c r="V3" s="502" t="s">
        <v>245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241</v>
      </c>
      <c r="G4" s="487" t="s">
        <v>31</v>
      </c>
      <c r="H4" s="475" t="s">
        <v>242</v>
      </c>
      <c r="I4" s="489" t="s">
        <v>243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248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246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761497.95</v>
      </c>
      <c r="G8" s="103">
        <f>G9+G15+G18+G19+G23+G17</f>
        <v>681414.71</v>
      </c>
      <c r="H8" s="103">
        <f>G8-F8</f>
        <v>-80083.23999999999</v>
      </c>
      <c r="I8" s="210">
        <f aca="true" t="shared" si="0" ref="I8:I15">G8/F8</f>
        <v>0.8948345954181492</v>
      </c>
      <c r="J8" s="104">
        <f aca="true" t="shared" si="1" ref="J8:J52">G8-E8</f>
        <v>-921836.19</v>
      </c>
      <c r="K8" s="156">
        <f aca="true" t="shared" si="2" ref="K8:K14">G8/E8</f>
        <v>0.4250206315181236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609470.13</v>
      </c>
      <c r="S8" s="103">
        <f aca="true" t="shared" si="5" ref="S8:S79">G8-R8</f>
        <v>71944.57999999996</v>
      </c>
      <c r="T8" s="143">
        <f aca="true" t="shared" si="6" ref="T8:T41">G8/R8</f>
        <v>1.1180444724994152</v>
      </c>
      <c r="U8" s="103">
        <f>U9+U15+U18+U19+U23+U17</f>
        <v>124330.00000000006</v>
      </c>
      <c r="V8" s="103">
        <f>V9+V15+V18+V19+V23+V17</f>
        <v>32107.010000000017</v>
      </c>
      <c r="W8" s="103">
        <f>V8-U8</f>
        <v>-92222.99000000005</v>
      </c>
      <c r="X8" s="143">
        <f aca="true" t="shared" si="7" ref="X8:X15">V8/U8</f>
        <v>0.2582402477278211</v>
      </c>
      <c r="Y8" s="199">
        <f aca="true" t="shared" si="8" ref="Y8:Y22">T8-Q8</f>
        <v>-0.08778257088157293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463443.25</v>
      </c>
      <c r="G9" s="106">
        <v>407931.8</v>
      </c>
      <c r="H9" s="102">
        <f>G9-F9</f>
        <v>-55511.45000000001</v>
      </c>
      <c r="I9" s="208">
        <f t="shared" si="0"/>
        <v>0.8802195306545084</v>
      </c>
      <c r="J9" s="108">
        <f t="shared" si="1"/>
        <v>-568788.3</v>
      </c>
      <c r="K9" s="148">
        <f t="shared" si="2"/>
        <v>0.4176547610722867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351542.38</v>
      </c>
      <c r="S9" s="109">
        <f t="shared" si="5"/>
        <v>56389.419999999984</v>
      </c>
      <c r="T9" s="144">
        <f t="shared" si="6"/>
        <v>1.1604057525013058</v>
      </c>
      <c r="U9" s="107">
        <f>F9-травень!F9</f>
        <v>86181.00000000006</v>
      </c>
      <c r="V9" s="110">
        <f>G9-травень!G9</f>
        <v>27114.95000000001</v>
      </c>
      <c r="W9" s="111">
        <f>V9-U9</f>
        <v>-59066.05000000005</v>
      </c>
      <c r="X9" s="148">
        <f t="shared" si="7"/>
        <v>0.31462793423144303</v>
      </c>
      <c r="Y9" s="200">
        <f t="shared" si="8"/>
        <v>-0.09854327419528852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426386.91</v>
      </c>
      <c r="G10" s="94">
        <v>349166.04</v>
      </c>
      <c r="H10" s="71">
        <f aca="true" t="shared" si="9" ref="H10:H47">G10-F10</f>
        <v>-77220.87</v>
      </c>
      <c r="I10" s="209">
        <f t="shared" si="0"/>
        <v>0.818894838962106</v>
      </c>
      <c r="J10" s="72">
        <f t="shared" si="1"/>
        <v>-553154.06</v>
      </c>
      <c r="K10" s="75">
        <f t="shared" si="2"/>
        <v>0.38696471462843396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322544.76</v>
      </c>
      <c r="S10" s="74">
        <f t="shared" si="5"/>
        <v>26621.27999999997</v>
      </c>
      <c r="T10" s="145">
        <f t="shared" si="6"/>
        <v>1.0825351495401754</v>
      </c>
      <c r="U10" s="73">
        <f>F10-травень!F10</f>
        <v>80600</v>
      </c>
      <c r="V10" s="98">
        <f>G10-травень!G10</f>
        <v>2555.329999999958</v>
      </c>
      <c r="W10" s="74">
        <f aca="true" t="shared" si="10" ref="W10:W73">V10-U10</f>
        <v>-78044.67000000004</v>
      </c>
      <c r="X10" s="75">
        <f t="shared" si="7"/>
        <v>0.03170384615384563</v>
      </c>
      <c r="Y10" s="198">
        <f t="shared" si="8"/>
        <v>-0.18851769982341438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21226.56</v>
      </c>
      <c r="H11" s="71">
        <f t="shared" si="9"/>
        <v>-3633.739999999998</v>
      </c>
      <c r="I11" s="209">
        <f t="shared" si="0"/>
        <v>0.853833622281308</v>
      </c>
      <c r="J11" s="72">
        <f t="shared" si="1"/>
        <v>-28673.44</v>
      </c>
      <c r="K11" s="75">
        <f t="shared" si="2"/>
        <v>0.4253819639278557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19085.89</v>
      </c>
      <c r="S11" s="74">
        <f t="shared" si="5"/>
        <v>2140.670000000002</v>
      </c>
      <c r="T11" s="145">
        <f t="shared" si="6"/>
        <v>1.1121598206842858</v>
      </c>
      <c r="U11" s="73">
        <f>F11-травень!F11</f>
        <v>3819</v>
      </c>
      <c r="V11" s="98">
        <f>G11-травень!G11</f>
        <v>86.97000000000116</v>
      </c>
      <c r="W11" s="74">
        <f t="shared" si="10"/>
        <v>-3732.029999999999</v>
      </c>
      <c r="X11" s="75">
        <f t="shared" si="7"/>
        <v>0.022772977219167625</v>
      </c>
      <c r="Y11" s="198">
        <f t="shared" si="8"/>
        <v>-0.061504653809209664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7451.56</v>
      </c>
      <c r="H12" s="71">
        <f t="shared" si="9"/>
        <v>930.1500000000005</v>
      </c>
      <c r="I12" s="209">
        <f t="shared" si="0"/>
        <v>1.1426301980706628</v>
      </c>
      <c r="J12" s="72">
        <f t="shared" si="1"/>
        <v>-4548.44</v>
      </c>
      <c r="K12" s="75">
        <f t="shared" si="2"/>
        <v>0.6209633333333333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4513.03</v>
      </c>
      <c r="S12" s="74">
        <f t="shared" si="5"/>
        <v>2938.5300000000007</v>
      </c>
      <c r="T12" s="145">
        <f t="shared" si="6"/>
        <v>1.6511213087437933</v>
      </c>
      <c r="U12" s="73">
        <f>F12-травень!F12</f>
        <v>625</v>
      </c>
      <c r="V12" s="98">
        <f>G12-травень!G12</f>
        <v>176.01000000000022</v>
      </c>
      <c r="W12" s="74">
        <f t="shared" si="10"/>
        <v>-448.9899999999998</v>
      </c>
      <c r="X12" s="75">
        <f t="shared" si="7"/>
        <v>0.28161600000000037</v>
      </c>
      <c r="Y12" s="198">
        <f t="shared" si="8"/>
        <v>0.6504667138629754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5580.55</v>
      </c>
      <c r="H13" s="71">
        <f t="shared" si="9"/>
        <v>216.55000000000018</v>
      </c>
      <c r="I13" s="209">
        <f t="shared" si="0"/>
        <v>1.0403709917971664</v>
      </c>
      <c r="J13" s="72">
        <f t="shared" si="1"/>
        <v>-6419.45</v>
      </c>
      <c r="K13" s="75">
        <f t="shared" si="2"/>
        <v>0.4650458333333333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4691.17</v>
      </c>
      <c r="S13" s="74">
        <f t="shared" si="5"/>
        <v>889.3800000000001</v>
      </c>
      <c r="T13" s="145">
        <f t="shared" si="6"/>
        <v>1.189585966827039</v>
      </c>
      <c r="U13" s="73">
        <f>F13-травень!F13</f>
        <v>1104</v>
      </c>
      <c r="V13" s="98">
        <f>G13-травень!G13</f>
        <v>97.15000000000055</v>
      </c>
      <c r="W13" s="74">
        <f t="shared" si="10"/>
        <v>-1006.8499999999995</v>
      </c>
      <c r="X13" s="75">
        <f t="shared" si="7"/>
        <v>0.0879981884057976</v>
      </c>
      <c r="Y13" s="198">
        <f t="shared" si="8"/>
        <v>-0.006013033253664091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 t="shared" si="9"/>
        <v>-3.009999999999991</v>
      </c>
      <c r="I14" s="209">
        <f t="shared" si="0"/>
        <v>0.9903100151305412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707.53</v>
      </c>
      <c r="S14" s="74">
        <f t="shared" si="5"/>
        <v>-399.90999999999997</v>
      </c>
      <c r="T14" s="145">
        <f t="shared" si="6"/>
        <v>0.4347801506649895</v>
      </c>
      <c r="U14" s="73">
        <f>F14-травень!F14</f>
        <v>33</v>
      </c>
      <c r="V14" s="98">
        <f>G14-травень!G14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F15-травень!F15</f>
        <v>0</v>
      </c>
      <c r="V15" s="110">
        <f>G15-травень!G15</f>
        <v>0</v>
      </c>
      <c r="W15" s="111">
        <f t="shared" si="10"/>
        <v>0</v>
      </c>
      <c r="X15" s="148" t="e">
        <f t="shared" si="7"/>
        <v>#DIV/0!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F16-травень!F16</f>
        <v>0</v>
      </c>
      <c r="V16" s="110">
        <f>G16-травень!G16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F17-травень!F17</f>
        <v>0</v>
      </c>
      <c r="V17" s="110">
        <f>G17-травень!G17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F18-травень!F18</f>
        <v>0</v>
      </c>
      <c r="V18" s="110">
        <f>G18-травень!G18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49874.2</v>
      </c>
      <c r="H19" s="102">
        <f t="shared" si="9"/>
        <v>-18748.800000000003</v>
      </c>
      <c r="I19" s="208">
        <f t="shared" si="12"/>
        <v>0.7267854800868513</v>
      </c>
      <c r="J19" s="108">
        <f t="shared" si="1"/>
        <v>-101853.8</v>
      </c>
      <c r="K19" s="108">
        <f t="shared" si="11"/>
        <v>32.870795107033636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53960.11</v>
      </c>
      <c r="S19" s="111">
        <f t="shared" si="5"/>
        <v>-4085.9100000000035</v>
      </c>
      <c r="T19" s="146">
        <f t="shared" si="6"/>
        <v>0.9242790646646197</v>
      </c>
      <c r="U19" s="107">
        <f>F19-травень!F19</f>
        <v>12360</v>
      </c>
      <c r="V19" s="110">
        <f>G19-травень!G19</f>
        <v>1438.489999999998</v>
      </c>
      <c r="W19" s="111">
        <f t="shared" si="10"/>
        <v>-10921.510000000002</v>
      </c>
      <c r="X19" s="148">
        <f t="shared" si="13"/>
        <v>0.11638268608414223</v>
      </c>
      <c r="Y19" s="197">
        <f t="shared" si="8"/>
        <v>-0.3199015488221708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21401.7</v>
      </c>
      <c r="H20" s="170">
        <f t="shared" si="9"/>
        <v>-5821.299999999999</v>
      </c>
      <c r="I20" s="211">
        <f t="shared" si="12"/>
        <v>0.786162436175293</v>
      </c>
      <c r="J20" s="171">
        <f t="shared" si="1"/>
        <v>-45306.3</v>
      </c>
      <c r="K20" s="171">
        <f t="shared" si="11"/>
        <v>32.08265875157402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31235.26</v>
      </c>
      <c r="S20" s="116">
        <f t="shared" si="5"/>
        <v>-9833.559999999998</v>
      </c>
      <c r="T20" s="172">
        <f t="shared" si="6"/>
        <v>0.6851775845630868</v>
      </c>
      <c r="U20" s="136">
        <f>F20-травень!F20</f>
        <v>5260</v>
      </c>
      <c r="V20" s="124">
        <f>G20-травень!G20</f>
        <v>82.59000000000015</v>
      </c>
      <c r="W20" s="116">
        <f t="shared" si="10"/>
        <v>-5177.41</v>
      </c>
      <c r="X20" s="180">
        <f t="shared" si="13"/>
        <v>0.015701520912547555</v>
      </c>
      <c r="Y20" s="197">
        <f t="shared" si="8"/>
        <v>-0.41314146437704724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5953.7</v>
      </c>
      <c r="H21" s="170">
        <f t="shared" si="9"/>
        <v>-1846.3000000000002</v>
      </c>
      <c r="I21" s="211">
        <f t="shared" si="12"/>
        <v>0.7632948717948718</v>
      </c>
      <c r="J21" s="171">
        <f t="shared" si="1"/>
        <v>-9742.3</v>
      </c>
      <c r="K21" s="171">
        <f t="shared" si="11"/>
        <v>37.93132008154944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4748.33</v>
      </c>
      <c r="S21" s="116">
        <f t="shared" si="5"/>
        <v>1205.37</v>
      </c>
      <c r="T21" s="172">
        <f t="shared" si="6"/>
        <v>1.2538513540550045</v>
      </c>
      <c r="U21" s="136">
        <f>F21-травень!F21</f>
        <v>1300</v>
      </c>
      <c r="V21" s="124">
        <f>G21-травень!G21</f>
        <v>20.30999999999949</v>
      </c>
      <c r="W21" s="116">
        <f t="shared" si="10"/>
        <v>-1279.6900000000005</v>
      </c>
      <c r="X21" s="180">
        <f t="shared" si="13"/>
        <v>0.015623076923076532</v>
      </c>
      <c r="Y21" s="197">
        <f t="shared" si="8"/>
        <v>0.0010487909818708285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22518.7</v>
      </c>
      <c r="H22" s="170">
        <f t="shared" si="9"/>
        <v>-11081.3</v>
      </c>
      <c r="I22" s="211">
        <f t="shared" si="12"/>
        <v>0.6701994047619048</v>
      </c>
      <c r="J22" s="171">
        <f t="shared" si="1"/>
        <v>-46805.3</v>
      </c>
      <c r="K22" s="171">
        <f t="shared" si="11"/>
        <v>32.48326697824707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17976.52</v>
      </c>
      <c r="S22" s="116">
        <f t="shared" si="5"/>
        <v>4542.18</v>
      </c>
      <c r="T22" s="172">
        <f t="shared" si="6"/>
        <v>1.2526729311346134</v>
      </c>
      <c r="U22" s="136">
        <f>F22-травень!F22</f>
        <v>5800</v>
      </c>
      <c r="V22" s="124">
        <f>G22-травень!G22</f>
        <v>1335.4900000000016</v>
      </c>
      <c r="W22" s="116">
        <f t="shared" si="10"/>
        <v>-4464.509999999998</v>
      </c>
      <c r="X22" s="180">
        <f t="shared" si="13"/>
        <v>0.2302568965517244</v>
      </c>
      <c r="Y22" s="197">
        <f t="shared" si="8"/>
        <v>-0.1712569955080594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02">
        <f>G24+G43+G47+G42+G46</f>
        <v>222372.75</v>
      </c>
      <c r="H23" s="102">
        <f t="shared" si="9"/>
        <v>-6553.450000000012</v>
      </c>
      <c r="I23" s="208">
        <f t="shared" si="12"/>
        <v>0.9713730887945548</v>
      </c>
      <c r="J23" s="108">
        <f t="shared" si="1"/>
        <v>-251294.44999999995</v>
      </c>
      <c r="K23" s="108">
        <f t="shared" si="11"/>
        <v>46.94704425385587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203804.13</v>
      </c>
      <c r="S23" s="111">
        <f t="shared" si="5"/>
        <v>18568.619999999995</v>
      </c>
      <c r="T23" s="147">
        <f t="shared" si="6"/>
        <v>1.0911101261785028</v>
      </c>
      <c r="U23" s="107">
        <f>F23-травень!F23</f>
        <v>25789</v>
      </c>
      <c r="V23" s="110">
        <f>G23-травень!G23</f>
        <v>3553.570000000007</v>
      </c>
      <c r="W23" s="111">
        <f t="shared" si="10"/>
        <v>-22235.429999999993</v>
      </c>
      <c r="X23" s="148">
        <f t="shared" si="13"/>
        <v>0.13779402070650304</v>
      </c>
      <c r="Y23" s="197">
        <f>T23-Q23</f>
        <v>-0.00863714893175227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100531.11</v>
      </c>
      <c r="H24" s="102">
        <f t="shared" si="9"/>
        <v>-2059.9000000000087</v>
      </c>
      <c r="I24" s="208">
        <f t="shared" si="12"/>
        <v>0.9799212426118038</v>
      </c>
      <c r="J24" s="108">
        <f t="shared" si="1"/>
        <v>-116310.89</v>
      </c>
      <c r="K24" s="148">
        <f aca="true" t="shared" si="14" ref="K24:K41">G24/E24</f>
        <v>0.4636145672886249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99393.67</v>
      </c>
      <c r="S24" s="111">
        <f t="shared" si="5"/>
        <v>1137.4400000000023</v>
      </c>
      <c r="T24" s="147">
        <f t="shared" si="6"/>
        <v>1.0114437871144109</v>
      </c>
      <c r="U24" s="107">
        <f>F24-травень!F24</f>
        <v>16888</v>
      </c>
      <c r="V24" s="110">
        <f>G24-травень!G24</f>
        <v>1351.800000000003</v>
      </c>
      <c r="W24" s="111">
        <f t="shared" si="10"/>
        <v>-15536.199999999997</v>
      </c>
      <c r="X24" s="148">
        <f t="shared" si="13"/>
        <v>0.08004500236854588</v>
      </c>
      <c r="Y24" s="197">
        <f aca="true" t="shared" si="15" ref="Y24:Y100">T24-Q24</f>
        <v>-0.034934257717967876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13755.6</v>
      </c>
      <c r="H25" s="170">
        <f t="shared" si="9"/>
        <v>955.1000000000004</v>
      </c>
      <c r="I25" s="211">
        <f t="shared" si="12"/>
        <v>1.0746142728799657</v>
      </c>
      <c r="J25" s="171">
        <f t="shared" si="1"/>
        <v>-15028.4</v>
      </c>
      <c r="K25" s="180">
        <f t="shared" si="14"/>
        <v>0.4778904947192885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11085.53</v>
      </c>
      <c r="S25" s="116">
        <f t="shared" si="5"/>
        <v>2670.0699999999997</v>
      </c>
      <c r="T25" s="152">
        <f t="shared" si="6"/>
        <v>1.240860833897883</v>
      </c>
      <c r="U25" s="136">
        <f>F25-травень!F25</f>
        <v>937</v>
      </c>
      <c r="V25" s="124">
        <f>G25-травень!G25</f>
        <v>371.97000000000116</v>
      </c>
      <c r="W25" s="116">
        <f t="shared" si="10"/>
        <v>-565.0299999999988</v>
      </c>
      <c r="X25" s="180">
        <f t="shared" si="13"/>
        <v>0.39697972251867786</v>
      </c>
      <c r="Y25" s="197">
        <f t="shared" si="15"/>
        <v>0.1082638879433444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929.75</v>
      </c>
      <c r="H26" s="158">
        <f t="shared" si="9"/>
        <v>621.14</v>
      </c>
      <c r="I26" s="212">
        <f t="shared" si="12"/>
        <v>3.012702115939211</v>
      </c>
      <c r="J26" s="176">
        <f t="shared" si="1"/>
        <v>-592.25</v>
      </c>
      <c r="K26" s="191">
        <f t="shared" si="14"/>
        <v>0.610873850197109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213.26</v>
      </c>
      <c r="S26" s="201">
        <f t="shared" si="5"/>
        <v>716.49</v>
      </c>
      <c r="T26" s="162">
        <f t="shared" si="6"/>
        <v>4.359701772484292</v>
      </c>
      <c r="U26" s="167">
        <f>F26-травень!F26</f>
        <v>16</v>
      </c>
      <c r="V26" s="167">
        <f>G26-квітень!G26</f>
        <v>231.46000000000004</v>
      </c>
      <c r="W26" s="176">
        <f t="shared" si="10"/>
        <v>215.46000000000004</v>
      </c>
      <c r="X26" s="191">
        <f t="shared" si="13"/>
        <v>14.466250000000002</v>
      </c>
      <c r="Y26" s="197">
        <f t="shared" si="15"/>
        <v>3.353680184662309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12617.48</v>
      </c>
      <c r="H27" s="158">
        <f t="shared" si="9"/>
        <v>125.59000000000015</v>
      </c>
      <c r="I27" s="212">
        <f t="shared" si="12"/>
        <v>1.0100537228553885</v>
      </c>
      <c r="J27" s="176">
        <f t="shared" si="1"/>
        <v>-14644.52</v>
      </c>
      <c r="K27" s="191">
        <f t="shared" si="14"/>
        <v>0.4628229770376348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10872.26</v>
      </c>
      <c r="S27" s="201">
        <f t="shared" si="5"/>
        <v>1745.2199999999993</v>
      </c>
      <c r="T27" s="162">
        <f t="shared" si="6"/>
        <v>1.1605204437715801</v>
      </c>
      <c r="U27" s="167">
        <f>F27-травень!F27</f>
        <v>921</v>
      </c>
      <c r="V27" s="167">
        <f>G27-травень!G27</f>
        <v>93.57999999999811</v>
      </c>
      <c r="W27" s="176">
        <f t="shared" si="10"/>
        <v>-827.4200000000019</v>
      </c>
      <c r="X27" s="191">
        <f t="shared" si="13"/>
        <v>0.10160694896851043</v>
      </c>
      <c r="Y27" s="197">
        <f t="shared" si="15"/>
        <v>0.019912074680050296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170.7</v>
      </c>
      <c r="H28" s="218">
        <f t="shared" si="9"/>
        <v>27.899999999999977</v>
      </c>
      <c r="I28" s="220">
        <f t="shared" si="12"/>
        <v>1.195378151260504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172</v>
      </c>
      <c r="S28" s="221">
        <f t="shared" si="5"/>
        <v>-1.3000000000000114</v>
      </c>
      <c r="T28" s="222">
        <f t="shared" si="6"/>
        <v>0.9924418604651162</v>
      </c>
      <c r="U28" s="206">
        <f>F28-травень!F28</f>
        <v>5</v>
      </c>
      <c r="V28" s="206">
        <f>G28-травень!G28</f>
        <v>0</v>
      </c>
      <c r="W28" s="221">
        <f t="shared" si="10"/>
        <v>-5</v>
      </c>
      <c r="X28" s="222">
        <f t="shared" si="13"/>
        <v>0</v>
      </c>
      <c r="Y28" s="465">
        <f t="shared" si="15"/>
        <v>-0.15285914348544738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759.05</v>
      </c>
      <c r="H29" s="218">
        <f t="shared" si="9"/>
        <v>593.24</v>
      </c>
      <c r="I29" s="220">
        <f t="shared" si="12"/>
        <v>4.577830046438694</v>
      </c>
      <c r="J29" s="221">
        <f t="shared" si="1"/>
        <v>-446.95000000000005</v>
      </c>
      <c r="K29" s="222">
        <f t="shared" si="14"/>
        <v>0.6293946932006633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41.26</v>
      </c>
      <c r="S29" s="221">
        <f t="shared" si="5"/>
        <v>717.79</v>
      </c>
      <c r="T29" s="222">
        <f t="shared" si="6"/>
        <v>18.396752302472127</v>
      </c>
      <c r="U29" s="206">
        <f>F29-травень!F29</f>
        <v>11</v>
      </c>
      <c r="V29" s="206">
        <f>G29-травень!G29</f>
        <v>70.01999999999998</v>
      </c>
      <c r="W29" s="221">
        <f t="shared" si="10"/>
        <v>59.01999999999998</v>
      </c>
      <c r="X29" s="222">
        <f t="shared" si="13"/>
        <v>6.3654545454545435</v>
      </c>
      <c r="Y29" s="465">
        <f t="shared" si="15"/>
        <v>17.421797169810322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1027.55</v>
      </c>
      <c r="H30" s="218">
        <f t="shared" si="9"/>
        <v>661.46</v>
      </c>
      <c r="I30" s="220">
        <f t="shared" si="12"/>
        <v>2.8068234587123384</v>
      </c>
      <c r="J30" s="221">
        <f t="shared" si="1"/>
        <v>-1327.45</v>
      </c>
      <c r="K30" s="222">
        <f t="shared" si="14"/>
        <v>0.4363269639065817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113.81</v>
      </c>
      <c r="S30" s="221">
        <f t="shared" si="5"/>
        <v>913.74</v>
      </c>
      <c r="T30" s="222">
        <f t="shared" si="6"/>
        <v>9.028644231614093</v>
      </c>
      <c r="U30" s="206">
        <f>F30-травень!F30</f>
        <v>21</v>
      </c>
      <c r="V30" s="206">
        <f>G30-травень!G30</f>
        <v>49.00999999999999</v>
      </c>
      <c r="W30" s="221">
        <f t="shared" si="10"/>
        <v>28.00999999999999</v>
      </c>
      <c r="X30" s="222">
        <f t="shared" si="13"/>
        <v>2.3338095238095233</v>
      </c>
      <c r="Y30" s="465">
        <f t="shared" si="15"/>
        <v>7.967952868028911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11589.93</v>
      </c>
      <c r="H31" s="218">
        <f t="shared" si="9"/>
        <v>-535.869999999999</v>
      </c>
      <c r="I31" s="220">
        <f t="shared" si="12"/>
        <v>0.9558074518794637</v>
      </c>
      <c r="J31" s="221">
        <f t="shared" si="1"/>
        <v>-13317.07</v>
      </c>
      <c r="K31" s="222">
        <f t="shared" si="14"/>
        <v>0.46532822098205323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10758.45</v>
      </c>
      <c r="S31" s="221">
        <f t="shared" si="5"/>
        <v>831.4799999999996</v>
      </c>
      <c r="T31" s="222">
        <f t="shared" si="6"/>
        <v>1.0772862261757037</v>
      </c>
      <c r="U31" s="206">
        <f>F31-травень!F31</f>
        <v>900</v>
      </c>
      <c r="V31" s="206">
        <f>G31-травень!G31</f>
        <v>44.56999999999971</v>
      </c>
      <c r="W31" s="221"/>
      <c r="X31" s="222">
        <f t="shared" si="13"/>
        <v>0.0495222222222219</v>
      </c>
      <c r="Y31" s="465">
        <f t="shared" si="15"/>
        <v>-0.0715060590616674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524.71</v>
      </c>
      <c r="H32" s="170">
        <f t="shared" si="9"/>
        <v>349.68000000000006</v>
      </c>
      <c r="I32" s="211">
        <f t="shared" si="12"/>
        <v>2.997828943609667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-89.23</v>
      </c>
      <c r="S32" s="121">
        <f t="shared" si="5"/>
        <v>613.94</v>
      </c>
      <c r="T32" s="150">
        <f t="shared" si="6"/>
        <v>-5.880421382942957</v>
      </c>
      <c r="U32" s="136">
        <f>F32-травень!F32</f>
        <v>1</v>
      </c>
      <c r="V32" s="124">
        <f>G32-травень!G32</f>
        <v>0</v>
      </c>
      <c r="W32" s="116">
        <f t="shared" si="10"/>
        <v>-1</v>
      </c>
      <c r="X32" s="180">
        <f t="shared" si="13"/>
        <v>0</v>
      </c>
      <c r="Y32" s="198">
        <f t="shared" si="15"/>
        <v>-6.3174545168734655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-243.4</v>
      </c>
      <c r="S33" s="72">
        <f t="shared" si="5"/>
        <v>421.97</v>
      </c>
      <c r="T33" s="75">
        <f t="shared" si="6"/>
        <v>-0.7336483155299918</v>
      </c>
      <c r="U33" s="73">
        <f>F33-травень!F33</f>
        <v>0</v>
      </c>
      <c r="V33" s="98">
        <f>G33-травень!G33</f>
        <v>0</v>
      </c>
      <c r="W33" s="74">
        <f t="shared" si="10"/>
        <v>0</v>
      </c>
      <c r="X33" s="75" t="e">
        <f t="shared" si="13"/>
        <v>#DIV/0!</v>
      </c>
      <c r="Y33" s="465">
        <f t="shared" si="15"/>
        <v>-1.1479671753244896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346.14</v>
      </c>
      <c r="H34" s="71">
        <f t="shared" si="9"/>
        <v>198.95999999999998</v>
      </c>
      <c r="I34" s="209">
        <f t="shared" si="12"/>
        <v>2.3518141051773336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154.17</v>
      </c>
      <c r="S34" s="72">
        <f t="shared" si="5"/>
        <v>191.97</v>
      </c>
      <c r="T34" s="75">
        <f t="shared" si="6"/>
        <v>2.245183887915937</v>
      </c>
      <c r="U34" s="73">
        <f>F34-травень!F34</f>
        <v>1</v>
      </c>
      <c r="V34" s="98">
        <f>G34-травень!G34</f>
        <v>0</v>
      </c>
      <c r="W34" s="74"/>
      <c r="X34" s="75">
        <f t="shared" si="13"/>
        <v>0</v>
      </c>
      <c r="Y34" s="465">
        <f t="shared" si="15"/>
        <v>1.7945884582410097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86250.8</v>
      </c>
      <c r="H35" s="102">
        <f t="shared" si="9"/>
        <v>-3364.6800000000076</v>
      </c>
      <c r="I35" s="211">
        <f t="shared" si="12"/>
        <v>0.9624542545551281</v>
      </c>
      <c r="J35" s="171">
        <f t="shared" si="1"/>
        <v>-101525.2</v>
      </c>
      <c r="K35" s="180">
        <f t="shared" si="14"/>
        <v>0.4593281356509884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88397.37</v>
      </c>
      <c r="S35" s="122">
        <f t="shared" si="5"/>
        <v>-2146.5699999999924</v>
      </c>
      <c r="T35" s="149">
        <f t="shared" si="6"/>
        <v>0.9757168114843237</v>
      </c>
      <c r="U35" s="136">
        <f>F35-травень!F35</f>
        <v>15950</v>
      </c>
      <c r="V35" s="124">
        <f>G35-травень!G35</f>
        <v>979.8300000000017</v>
      </c>
      <c r="W35" s="116">
        <f t="shared" si="10"/>
        <v>-14970.169999999998</v>
      </c>
      <c r="X35" s="180">
        <f t="shared" si="13"/>
        <v>0.06143134796238255</v>
      </c>
      <c r="Y35" s="198">
        <f t="shared" si="15"/>
        <v>-0.06073696844289567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29519.230000000003</v>
      </c>
      <c r="G36" s="139">
        <f>G38+G40</f>
        <v>34479.02</v>
      </c>
      <c r="H36" s="158">
        <f t="shared" si="9"/>
        <v>4959.789999999994</v>
      </c>
      <c r="I36" s="212">
        <f t="shared" si="12"/>
        <v>1.168018949003751</v>
      </c>
      <c r="J36" s="176">
        <f t="shared" si="1"/>
        <v>-26210.980000000003</v>
      </c>
      <c r="K36" s="191">
        <f t="shared" si="14"/>
        <v>0.5681169879716592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30657.95</v>
      </c>
      <c r="S36" s="140">
        <f t="shared" si="5"/>
        <v>3821.069999999996</v>
      </c>
      <c r="T36" s="162">
        <f t="shared" si="6"/>
        <v>1.1246355349917394</v>
      </c>
      <c r="U36" s="167">
        <f>F36-травень!F36</f>
        <v>5240</v>
      </c>
      <c r="V36" s="167">
        <f>G36-травень!G36</f>
        <v>74.61000000000058</v>
      </c>
      <c r="W36" s="176">
        <f t="shared" si="10"/>
        <v>-5165.389999999999</v>
      </c>
      <c r="X36" s="191">
        <f aca="true" t="shared" si="17" ref="X36:X41">V36/U36*100</f>
        <v>1.4238549618320722</v>
      </c>
      <c r="Y36" s="197">
        <f t="shared" si="15"/>
        <v>0.08912338900926708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60096.25</v>
      </c>
      <c r="G37" s="139">
        <f t="shared" si="16"/>
        <v>51199.229999999996</v>
      </c>
      <c r="H37" s="158">
        <f t="shared" si="9"/>
        <v>-8897.020000000004</v>
      </c>
      <c r="I37" s="212">
        <f t="shared" si="12"/>
        <v>0.8519538240738814</v>
      </c>
      <c r="J37" s="176">
        <f t="shared" si="1"/>
        <v>-75886.77</v>
      </c>
      <c r="K37" s="191">
        <f t="shared" si="14"/>
        <v>0.40287073320428685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57739.43</v>
      </c>
      <c r="S37" s="140">
        <f t="shared" si="5"/>
        <v>-6540.200000000004</v>
      </c>
      <c r="T37" s="162">
        <f t="shared" si="6"/>
        <v>0.8867290515337611</v>
      </c>
      <c r="U37" s="167">
        <f>F37-травень!F37</f>
        <v>10710</v>
      </c>
      <c r="V37" s="167">
        <f>G37-травень!G37</f>
        <v>332.66999999999825</v>
      </c>
      <c r="W37" s="176">
        <f t="shared" si="10"/>
        <v>-10377.330000000002</v>
      </c>
      <c r="X37" s="191">
        <f>V37/U37</f>
        <v>0.03106162464985978</v>
      </c>
      <c r="Y37" s="197">
        <f t="shared" si="15"/>
        <v>-0.15017501073041606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33847.81</v>
      </c>
      <c r="H38" s="218">
        <f t="shared" si="9"/>
        <v>5763.409999999996</v>
      </c>
      <c r="I38" s="220">
        <f t="shared" si="12"/>
        <v>1.2052174872883166</v>
      </c>
      <c r="J38" s="221">
        <f t="shared" si="1"/>
        <v>-23442.190000000002</v>
      </c>
      <c r="K38" s="222">
        <f t="shared" si="14"/>
        <v>0.5908153255367429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29331.06</v>
      </c>
      <c r="S38" s="221">
        <f t="shared" si="5"/>
        <v>4516.749999999996</v>
      </c>
      <c r="T38" s="222">
        <f t="shared" si="6"/>
        <v>1.1539920480200851</v>
      </c>
      <c r="U38" s="206">
        <f>F38-травень!F38</f>
        <v>4900</v>
      </c>
      <c r="V38" s="206">
        <f>G38-травень!G38</f>
        <v>58.779999999998836</v>
      </c>
      <c r="W38" s="221">
        <f t="shared" si="10"/>
        <v>-4841.220000000001</v>
      </c>
      <c r="X38" s="222">
        <f t="shared" si="17"/>
        <v>1.19959183673467</v>
      </c>
      <c r="Y38" s="465">
        <f t="shared" si="15"/>
        <v>0.11699839922154243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43089.27</v>
      </c>
      <c r="H39" s="218">
        <f t="shared" si="9"/>
        <v>-7104.18</v>
      </c>
      <c r="I39" s="220">
        <f t="shared" si="12"/>
        <v>0.8584640027732702</v>
      </c>
      <c r="J39" s="221">
        <f t="shared" si="1"/>
        <v>-62896.73</v>
      </c>
      <c r="K39" s="222">
        <f t="shared" si="14"/>
        <v>0.40655624327741396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48085.43</v>
      </c>
      <c r="S39" s="221">
        <f t="shared" si="5"/>
        <v>-4996.1600000000035</v>
      </c>
      <c r="T39" s="222">
        <f t="shared" si="6"/>
        <v>0.8960982567900505</v>
      </c>
      <c r="U39" s="206">
        <f>F39-травень!F39</f>
        <v>8600</v>
      </c>
      <c r="V39" s="206">
        <f>G39-травень!G39</f>
        <v>213.86999999999534</v>
      </c>
      <c r="W39" s="221">
        <f t="shared" si="10"/>
        <v>-8386.130000000005</v>
      </c>
      <c r="X39" s="222">
        <f t="shared" si="17"/>
        <v>2.4868604651162247</v>
      </c>
      <c r="Y39" s="465">
        <f t="shared" si="15"/>
        <v>-0.1409837916392721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631.21</v>
      </c>
      <c r="H40" s="218">
        <f t="shared" si="9"/>
        <v>-803.6199999999999</v>
      </c>
      <c r="I40" s="220">
        <f t="shared" si="12"/>
        <v>0.4399197117428546</v>
      </c>
      <c r="J40" s="221">
        <f t="shared" si="1"/>
        <v>-2768.79</v>
      </c>
      <c r="K40" s="222">
        <f t="shared" si="14"/>
        <v>0.18565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1326.89</v>
      </c>
      <c r="S40" s="221">
        <f t="shared" si="5"/>
        <v>-695.6800000000001</v>
      </c>
      <c r="T40" s="222">
        <f t="shared" si="6"/>
        <v>0.475706350940922</v>
      </c>
      <c r="U40" s="206">
        <f>F40-травень!F40</f>
        <v>340</v>
      </c>
      <c r="V40" s="206">
        <f>G40-травень!G40</f>
        <v>15.830000000000041</v>
      </c>
      <c r="W40" s="221">
        <f t="shared" si="10"/>
        <v>-324.16999999999996</v>
      </c>
      <c r="X40" s="222">
        <f t="shared" si="17"/>
        <v>4.655882352941189</v>
      </c>
      <c r="Y40" s="465">
        <f t="shared" si="15"/>
        <v>-0.5354641086063114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8109.96</v>
      </c>
      <c r="H41" s="218">
        <f t="shared" si="9"/>
        <v>-1792.8399999999992</v>
      </c>
      <c r="I41" s="220">
        <f t="shared" si="12"/>
        <v>0.8189562547966233</v>
      </c>
      <c r="J41" s="221">
        <f t="shared" si="1"/>
        <v>-12990.04</v>
      </c>
      <c r="K41" s="222">
        <f t="shared" si="14"/>
        <v>0.38435829383886255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9654</v>
      </c>
      <c r="S41" s="221">
        <f t="shared" si="5"/>
        <v>-1544.04</v>
      </c>
      <c r="T41" s="222">
        <f t="shared" si="6"/>
        <v>0.8400621504039776</v>
      </c>
      <c r="U41" s="206">
        <f>F41-травень!F41</f>
        <v>2109.999999999999</v>
      </c>
      <c r="V41" s="206">
        <f>G41-травень!G41</f>
        <v>118.80000000000018</v>
      </c>
      <c r="W41" s="221">
        <f t="shared" si="10"/>
        <v>-1991.199999999999</v>
      </c>
      <c r="X41" s="222">
        <f t="shared" si="17"/>
        <v>5.630331753554514</v>
      </c>
      <c r="Y41" s="465">
        <f t="shared" si="15"/>
        <v>-0.19594880479812304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F42-травень!F42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81.65</v>
      </c>
      <c r="H43" s="102">
        <f t="shared" si="9"/>
        <v>3.219999999999999</v>
      </c>
      <c r="I43" s="208">
        <f>G43/F43</f>
        <v>1.0410557184750733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79.23</v>
      </c>
      <c r="S43" s="108">
        <f t="shared" si="5"/>
        <v>2.4200000000000017</v>
      </c>
      <c r="T43" s="148">
        <f aca="true" t="shared" si="18" ref="T43:T51">G43/R43</f>
        <v>1.0305439858639405</v>
      </c>
      <c r="U43" s="107">
        <f>F43-травень!F43</f>
        <v>1</v>
      </c>
      <c r="V43" s="110">
        <f>G43-травень!G43</f>
        <v>0</v>
      </c>
      <c r="W43" s="111">
        <f t="shared" si="10"/>
        <v>-1</v>
      </c>
      <c r="X43" s="148">
        <f>V43/U43</f>
        <v>0</v>
      </c>
      <c r="Y43" s="466">
        <f t="shared" si="15"/>
        <v>-0.08155906221666154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63.74</v>
      </c>
      <c r="H44" s="71">
        <f t="shared" si="9"/>
        <v>14.840000000000003</v>
      </c>
      <c r="I44" s="209">
        <f>G44/F44</f>
        <v>1.303476482617587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48.26</v>
      </c>
      <c r="S44" s="72">
        <f t="shared" si="5"/>
        <v>15.480000000000004</v>
      </c>
      <c r="T44" s="75">
        <f t="shared" si="18"/>
        <v>1.3207625362619146</v>
      </c>
      <c r="U44" s="73">
        <f>F44-травень!F44</f>
        <v>1</v>
      </c>
      <c r="V44" s="98">
        <f>G44-травень!G44</f>
        <v>0</v>
      </c>
      <c r="W44" s="74">
        <f t="shared" si="10"/>
        <v>-1</v>
      </c>
      <c r="X44" s="75">
        <f>V44/U44</f>
        <v>0</v>
      </c>
      <c r="Y44" s="465">
        <f t="shared" si="15"/>
        <v>0.26022017763252636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F45-травень!F45</f>
        <v>0</v>
      </c>
      <c r="V45" s="98">
        <f>G45-травень!G45</f>
        <v>0</v>
      </c>
      <c r="W45" s="74">
        <f t="shared" si="10"/>
        <v>0</v>
      </c>
      <c r="X45" s="75" t="e">
        <f>V45/U45</f>
        <v>#DIV/0!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-31.32</v>
      </c>
      <c r="S46" s="108">
        <f t="shared" si="5"/>
        <v>10.309999999999999</v>
      </c>
      <c r="T46" s="148">
        <f t="shared" si="18"/>
        <v>0.6708173690932312</v>
      </c>
      <c r="U46" s="107">
        <f>F46-травень!F46</f>
        <v>0</v>
      </c>
      <c r="V46" s="110">
        <f>G46-травень!G46</f>
        <v>0</v>
      </c>
      <c r="W46" s="111">
        <f t="shared" si="10"/>
        <v>0</v>
      </c>
      <c r="X46" s="148"/>
      <c r="Y46" s="197">
        <f t="shared" si="15"/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121781</v>
      </c>
      <c r="H47" s="102">
        <f t="shared" si="9"/>
        <v>-4475.759999999995</v>
      </c>
      <c r="I47" s="208">
        <f>G47/F47</f>
        <v>0.9645503337801478</v>
      </c>
      <c r="J47" s="108">
        <f t="shared" si="1"/>
        <v>-134869.8</v>
      </c>
      <c r="K47" s="148">
        <f>G47/E47</f>
        <v>0.47450076134576635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104362.34</v>
      </c>
      <c r="S47" s="123">
        <f t="shared" si="5"/>
        <v>17418.660000000003</v>
      </c>
      <c r="T47" s="160">
        <f t="shared" si="18"/>
        <v>1.1669056098205541</v>
      </c>
      <c r="U47" s="107">
        <f>F47-травень!F47</f>
        <v>8900</v>
      </c>
      <c r="V47" s="110">
        <f>G47-травень!G47</f>
        <v>2201.7599999999948</v>
      </c>
      <c r="W47" s="111">
        <f t="shared" si="10"/>
        <v>-6698.240000000005</v>
      </c>
      <c r="X47" s="148">
        <f>V47/U47</f>
        <v>0.24738876404494323</v>
      </c>
      <c r="Y47" s="197">
        <f t="shared" si="15"/>
        <v>0.017902459282986838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F48-травень!F48</f>
        <v>0</v>
      </c>
      <c r="V48" s="98">
        <f>G48-травень!G48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23295.24</v>
      </c>
      <c r="H49" s="71">
        <f>G49-F49</f>
        <v>-3588.6299999999974</v>
      </c>
      <c r="I49" s="209">
        <f>G49/F49</f>
        <v>0.8665136381034428</v>
      </c>
      <c r="J49" s="72">
        <f t="shared" si="1"/>
        <v>-32419.76</v>
      </c>
      <c r="K49" s="75">
        <f>G49/E49</f>
        <v>0.4181143318675402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20288.06</v>
      </c>
      <c r="S49" s="85">
        <f t="shared" si="5"/>
        <v>3007.1800000000003</v>
      </c>
      <c r="T49" s="153">
        <f t="shared" si="18"/>
        <v>1.1482241278860572</v>
      </c>
      <c r="U49" s="73">
        <f>F49-травень!F49</f>
        <v>1400</v>
      </c>
      <c r="V49" s="98">
        <f>G49-травень!G49</f>
        <v>172.04000000000087</v>
      </c>
      <c r="W49" s="74">
        <f t="shared" si="10"/>
        <v>-1227.9599999999991</v>
      </c>
      <c r="X49" s="75">
        <f>V49/U49</f>
        <v>0.1228857142857149</v>
      </c>
      <c r="Y49" s="197">
        <f t="shared" si="15"/>
        <v>-0.08905278363626312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97101.75</v>
      </c>
      <c r="H50" s="71">
        <f>G50-F50</f>
        <v>-2238.7400000000052</v>
      </c>
      <c r="I50" s="209">
        <f>G50/F50</f>
        <v>0.9774639726459976</v>
      </c>
      <c r="J50" s="72">
        <f t="shared" si="1"/>
        <v>-103753.25</v>
      </c>
      <c r="K50" s="75">
        <f>G50/E50</f>
        <v>0.48344203529909635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84050.77</v>
      </c>
      <c r="S50" s="85">
        <f t="shared" si="5"/>
        <v>13050.979999999996</v>
      </c>
      <c r="T50" s="153">
        <f t="shared" si="18"/>
        <v>1.1552749605982193</v>
      </c>
      <c r="U50" s="73">
        <f>F50-травень!F50</f>
        <v>7500</v>
      </c>
      <c r="V50" s="98">
        <f>G50-травень!G50</f>
        <v>678.1199999999953</v>
      </c>
      <c r="W50" s="74">
        <f t="shared" si="10"/>
        <v>-6821.880000000005</v>
      </c>
      <c r="X50" s="75">
        <f>V50/U50</f>
        <v>0.09041599999999939</v>
      </c>
      <c r="Y50" s="197">
        <f t="shared" si="15"/>
        <v>0.02858662495677966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23.5</v>
      </c>
      <c r="S51" s="85">
        <f t="shared" si="5"/>
        <v>8.909999999999997</v>
      </c>
      <c r="T51" s="153">
        <f t="shared" si="18"/>
        <v>1.3791489361702127</v>
      </c>
      <c r="U51" s="73">
        <f>F51-травень!F51</f>
        <v>0</v>
      </c>
      <c r="V51" s="98">
        <f>G51-травень!G51</f>
        <v>0</v>
      </c>
      <c r="W51" s="74">
        <f t="shared" si="10"/>
        <v>0</v>
      </c>
      <c r="X51" s="75"/>
      <c r="Y51" s="197">
        <f t="shared" si="15"/>
        <v>0.184412872293235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F52-травень!F52</f>
        <v>0</v>
      </c>
      <c r="V52" s="99">
        <f>G52-травень!G52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27154.75</v>
      </c>
      <c r="H53" s="315">
        <f aca="true" t="shared" si="19" ref="H53:H79">G53-F53</f>
        <v>-460.5500000000029</v>
      </c>
      <c r="I53" s="143">
        <f aca="true" t="shared" si="20" ref="I53:I72">G53/F53</f>
        <v>0.9833226508493479</v>
      </c>
      <c r="J53" s="104">
        <f>G53-E53</f>
        <v>-23094.15</v>
      </c>
      <c r="K53" s="156">
        <f aca="true" t="shared" si="21" ref="K53:K72">G53/E53</f>
        <v>0.5404048645841003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 t="shared" si="5"/>
        <v>-6903.720000000001</v>
      </c>
      <c r="T53" s="143">
        <f>G53/R53</f>
        <v>0.7972979995871805</v>
      </c>
      <c r="U53" s="103">
        <f>U54+U55+U56+U57+U58+U60+U62+U63+U64+U65+U66+U71+U72+U76+U59+U61+U77</f>
        <v>4223.5</v>
      </c>
      <c r="V53" s="103">
        <f>V54+V55+V56+V57+V58+V60+V62+V63+V64+V65+V66+V71+V72+V76+V59+V61+V77</f>
        <v>3087.370000000001</v>
      </c>
      <c r="W53" s="467">
        <f t="shared" si="10"/>
        <v>-1136.1299999999992</v>
      </c>
      <c r="X53" s="143">
        <f>V53/U53</f>
        <v>0.7309979874511663</v>
      </c>
      <c r="Y53" s="197">
        <f t="shared" si="15"/>
        <v>0.07305195982239188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 t="shared" si="10"/>
        <v>0</v>
      </c>
      <c r="X54" s="155" t="e">
        <f>V54/U54</f>
        <v>#DIV/0!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 t="shared" si="19"/>
        <v>798.5299999999997</v>
      </c>
      <c r="I55" s="213">
        <f t="shared" si="20"/>
        <v>1.1996285074298514</v>
      </c>
      <c r="J55" s="115">
        <f aca="true" t="shared" si="22" ref="J55:J79">G55-E55</f>
        <v>-2201.3900000000003</v>
      </c>
      <c r="K55" s="155">
        <f t="shared" si="21"/>
        <v>0.6855157142857142</v>
      </c>
      <c r="L55" s="115"/>
      <c r="M55" s="115"/>
      <c r="N55" s="115"/>
      <c r="O55" s="115">
        <v>27997.6</v>
      </c>
      <c r="P55" s="115">
        <f aca="true" t="shared" si="23" ref="P55:P72">E55-O55</f>
        <v>-20997.6</v>
      </c>
      <c r="Q55" s="155">
        <f aca="true" t="shared" si="24" ref="Q55:Q72">E55/O55</f>
        <v>0.2500214304083207</v>
      </c>
      <c r="R55" s="115">
        <v>13353.64</v>
      </c>
      <c r="S55" s="115">
        <f t="shared" si="5"/>
        <v>-8555.029999999999</v>
      </c>
      <c r="T55" s="155">
        <f aca="true" t="shared" si="25" ref="T55:T79">G55/R55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 t="shared" si="10"/>
        <v>732.2399999999998</v>
      </c>
      <c r="X55" s="155">
        <f aca="true" t="shared" si="26" ref="X55:X78">V55/U55</f>
        <v>2.0460571428571424</v>
      </c>
      <c r="Y55" s="197">
        <f t="shared" si="15"/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 t="shared" si="19"/>
        <v>-18.18</v>
      </c>
      <c r="I56" s="213">
        <f t="shared" si="20"/>
        <v>0.7402857142857143</v>
      </c>
      <c r="J56" s="115">
        <f t="shared" si="22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3"/>
        <v>4.699999999999989</v>
      </c>
      <c r="Q56" s="155">
        <f t="shared" si="24"/>
        <v>1.030658838878017</v>
      </c>
      <c r="R56" s="117">
        <v>102.8</v>
      </c>
      <c r="S56" s="115">
        <f t="shared" si="5"/>
        <v>-50.98</v>
      </c>
      <c r="T56" s="155">
        <f t="shared" si="25"/>
        <v>0.5040856031128405</v>
      </c>
      <c r="U56" s="107">
        <f>F56-травень!F56</f>
        <v>14</v>
      </c>
      <c r="V56" s="110">
        <f>G56-травень!G56</f>
        <v>0</v>
      </c>
      <c r="W56" s="111">
        <f t="shared" si="10"/>
        <v>-14</v>
      </c>
      <c r="X56" s="155">
        <f t="shared" si="26"/>
        <v>0</v>
      </c>
      <c r="Y56" s="197">
        <f t="shared" si="15"/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2.02</v>
      </c>
      <c r="H57" s="102">
        <f t="shared" si="19"/>
        <v>-4.98</v>
      </c>
      <c r="I57" s="213">
        <f t="shared" si="20"/>
        <v>0.2885714285714286</v>
      </c>
      <c r="J57" s="115">
        <f t="shared" si="22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3"/>
        <v>0.05000000000000071</v>
      </c>
      <c r="Q57" s="225">
        <f t="shared" si="24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F57-травень!F57</f>
        <v>1</v>
      </c>
      <c r="V57" s="110">
        <f>G57-травень!G57</f>
        <v>0</v>
      </c>
      <c r="W57" s="111">
        <f t="shared" si="10"/>
        <v>-1</v>
      </c>
      <c r="X57" s="155">
        <f t="shared" si="26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617.3</v>
      </c>
      <c r="H58" s="102">
        <f t="shared" si="19"/>
        <v>288.86999999999995</v>
      </c>
      <c r="I58" s="213">
        <f t="shared" si="20"/>
        <v>1.879548153335566</v>
      </c>
      <c r="J58" s="115">
        <f t="shared" si="22"/>
        <v>-126.70000000000005</v>
      </c>
      <c r="K58" s="155">
        <f t="shared" si="21"/>
        <v>0.8297043010752687</v>
      </c>
      <c r="L58" s="115"/>
      <c r="M58" s="115"/>
      <c r="N58" s="115"/>
      <c r="O58" s="115">
        <v>705.31</v>
      </c>
      <c r="P58" s="115">
        <f t="shared" si="23"/>
        <v>38.690000000000055</v>
      </c>
      <c r="Q58" s="155">
        <f t="shared" si="24"/>
        <v>1.0548553118486907</v>
      </c>
      <c r="R58" s="115">
        <v>501.53</v>
      </c>
      <c r="S58" s="115">
        <f t="shared" si="5"/>
        <v>115.76999999999998</v>
      </c>
      <c r="T58" s="155">
        <f t="shared" si="25"/>
        <v>1.230833649033956</v>
      </c>
      <c r="U58" s="107">
        <f>F58-травень!F58</f>
        <v>60</v>
      </c>
      <c r="V58" s="110">
        <f>G58-травень!G58</f>
        <v>72.51999999999998</v>
      </c>
      <c r="W58" s="111">
        <f t="shared" si="10"/>
        <v>12.519999999999982</v>
      </c>
      <c r="X58" s="155">
        <f t="shared" si="26"/>
        <v>1.2086666666666663</v>
      </c>
      <c r="Y58" s="197">
        <f t="shared" si="15"/>
        <v>0.17597833718526523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48.18</v>
      </c>
      <c r="H59" s="102">
        <f t="shared" si="19"/>
        <v>-1.8200000000000003</v>
      </c>
      <c r="I59" s="213">
        <f t="shared" si="20"/>
        <v>0.9636</v>
      </c>
      <c r="J59" s="115">
        <f t="shared" si="22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3"/>
        <v>1.2000000000000028</v>
      </c>
      <c r="Q59" s="155">
        <f t="shared" si="24"/>
        <v>1.010498687664042</v>
      </c>
      <c r="R59" s="115">
        <v>71.01</v>
      </c>
      <c r="S59" s="115">
        <f t="shared" si="5"/>
        <v>-22.830000000000005</v>
      </c>
      <c r="T59" s="155">
        <f t="shared" si="25"/>
        <v>0.6784959864807774</v>
      </c>
      <c r="U59" s="107">
        <f>F59-травень!F59</f>
        <v>10</v>
      </c>
      <c r="V59" s="110">
        <f>G59-травень!G59</f>
        <v>0</v>
      </c>
      <c r="W59" s="111">
        <f t="shared" si="10"/>
        <v>-10</v>
      </c>
      <c r="X59" s="155">
        <f t="shared" si="26"/>
        <v>0</v>
      </c>
      <c r="Y59" s="197">
        <f t="shared" si="15"/>
        <v>-0.3320027011832647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505.7</v>
      </c>
      <c r="H60" s="102">
        <f t="shared" si="19"/>
        <v>-108.30000000000001</v>
      </c>
      <c r="I60" s="213">
        <f t="shared" si="20"/>
        <v>0.823615635179153</v>
      </c>
      <c r="J60" s="115">
        <f t="shared" si="22"/>
        <v>-778.3</v>
      </c>
      <c r="K60" s="155">
        <f t="shared" si="21"/>
        <v>0.3938473520249221</v>
      </c>
      <c r="L60" s="115"/>
      <c r="M60" s="115"/>
      <c r="N60" s="115"/>
      <c r="O60" s="115">
        <v>1205.14</v>
      </c>
      <c r="P60" s="115">
        <f t="shared" si="23"/>
        <v>78.8599999999999</v>
      </c>
      <c r="Q60" s="155">
        <f t="shared" si="24"/>
        <v>1.0654363808354215</v>
      </c>
      <c r="R60" s="115">
        <v>628.92</v>
      </c>
      <c r="S60" s="115">
        <f t="shared" si="5"/>
        <v>-123.21999999999997</v>
      </c>
      <c r="T60" s="155">
        <f t="shared" si="25"/>
        <v>0.8040768301214781</v>
      </c>
      <c r="U60" s="107">
        <f>F60-травень!F60</f>
        <v>116</v>
      </c>
      <c r="V60" s="110">
        <f>G60-травень!G60</f>
        <v>31.939999999999998</v>
      </c>
      <c r="W60" s="111">
        <f t="shared" si="10"/>
        <v>-84.06</v>
      </c>
      <c r="X60" s="155">
        <f t="shared" si="26"/>
        <v>0.2753448275862069</v>
      </c>
      <c r="Y60" s="197">
        <f t="shared" si="15"/>
        <v>-0.26135955071394334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2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3"/>
        <v>-23.38</v>
      </c>
      <c r="Q61" s="155">
        <f t="shared" si="24"/>
        <v>0</v>
      </c>
      <c r="R61" s="115">
        <v>0</v>
      </c>
      <c r="S61" s="115">
        <f t="shared" si="5"/>
        <v>0</v>
      </c>
      <c r="T61" s="155"/>
      <c r="U61" s="107">
        <f>F61-травень!F61</f>
        <v>0</v>
      </c>
      <c r="V61" s="110">
        <f>G61-травень!G61</f>
        <v>0</v>
      </c>
      <c r="W61" s="111">
        <f t="shared" si="10"/>
        <v>0</v>
      </c>
      <c r="X61" s="155" t="e">
        <f t="shared" si="26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11212.4</v>
      </c>
      <c r="H62" s="102">
        <f t="shared" si="19"/>
        <v>-877.6000000000004</v>
      </c>
      <c r="I62" s="213">
        <f t="shared" si="20"/>
        <v>0.9274110835401158</v>
      </c>
      <c r="J62" s="115">
        <f t="shared" si="22"/>
        <v>-11047.6</v>
      </c>
      <c r="K62" s="155">
        <f t="shared" si="21"/>
        <v>0.5037017070979335</v>
      </c>
      <c r="L62" s="115"/>
      <c r="M62" s="115"/>
      <c r="N62" s="115"/>
      <c r="O62" s="115">
        <v>20110.14</v>
      </c>
      <c r="P62" s="115">
        <f t="shared" si="23"/>
        <v>2149.8600000000006</v>
      </c>
      <c r="Q62" s="155">
        <f t="shared" si="24"/>
        <v>1.1069042781402816</v>
      </c>
      <c r="R62" s="115">
        <v>8364.31</v>
      </c>
      <c r="S62" s="115">
        <f t="shared" si="5"/>
        <v>2848.09</v>
      </c>
      <c r="T62" s="155">
        <f t="shared" si="25"/>
        <v>1.3405050745369314</v>
      </c>
      <c r="U62" s="107">
        <f>F62-травень!F62</f>
        <v>2000</v>
      </c>
      <c r="V62" s="110">
        <f>G62-травень!G62</f>
        <v>657.5200000000004</v>
      </c>
      <c r="W62" s="111">
        <f t="shared" si="10"/>
        <v>-1342.4799999999996</v>
      </c>
      <c r="X62" s="155">
        <f t="shared" si="26"/>
        <v>0.3287600000000002</v>
      </c>
      <c r="Y62" s="197">
        <f t="shared" si="15"/>
        <v>0.23360079639664977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367.5</v>
      </c>
      <c r="H63" s="102">
        <f t="shared" si="19"/>
        <v>-9.5</v>
      </c>
      <c r="I63" s="213">
        <f t="shared" si="20"/>
        <v>0.9748010610079576</v>
      </c>
      <c r="J63" s="115">
        <f t="shared" si="22"/>
        <v>-399.5</v>
      </c>
      <c r="K63" s="155">
        <f t="shared" si="21"/>
        <v>0.4791395045632334</v>
      </c>
      <c r="L63" s="115"/>
      <c r="M63" s="115"/>
      <c r="N63" s="115"/>
      <c r="O63" s="115">
        <v>710.04</v>
      </c>
      <c r="P63" s="115">
        <f t="shared" si="23"/>
        <v>56.960000000000036</v>
      </c>
      <c r="Q63" s="155">
        <f t="shared" si="24"/>
        <v>1.0802208326291478</v>
      </c>
      <c r="R63" s="115">
        <v>262.81</v>
      </c>
      <c r="S63" s="115">
        <f t="shared" si="5"/>
        <v>104.69</v>
      </c>
      <c r="T63" s="155">
        <f t="shared" si="25"/>
        <v>1.398348616871504</v>
      </c>
      <c r="U63" s="107">
        <f>F63-травень!F63</f>
        <v>64</v>
      </c>
      <c r="V63" s="110">
        <f>G63-травень!G63</f>
        <v>21.060000000000002</v>
      </c>
      <c r="W63" s="111">
        <f t="shared" si="10"/>
        <v>-42.94</v>
      </c>
      <c r="X63" s="155">
        <f t="shared" si="26"/>
        <v>0.32906250000000004</v>
      </c>
      <c r="Y63" s="197">
        <f t="shared" si="15"/>
        <v>0.3181277842423562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15.9</v>
      </c>
      <c r="H64" s="102">
        <f t="shared" si="19"/>
        <v>-4.1</v>
      </c>
      <c r="I64" s="213">
        <f t="shared" si="20"/>
        <v>0.795</v>
      </c>
      <c r="J64" s="115">
        <f t="shared" si="22"/>
        <v>-28.1</v>
      </c>
      <c r="K64" s="155">
        <f t="shared" si="21"/>
        <v>0.3613636363636364</v>
      </c>
      <c r="L64" s="115"/>
      <c r="M64" s="115"/>
      <c r="N64" s="115"/>
      <c r="O64" s="115">
        <v>41.44</v>
      </c>
      <c r="P64" s="115">
        <f t="shared" si="23"/>
        <v>2.5600000000000023</v>
      </c>
      <c r="Q64" s="155">
        <f t="shared" si="24"/>
        <v>1.0617760617760619</v>
      </c>
      <c r="R64" s="115">
        <v>18.72</v>
      </c>
      <c r="S64" s="115">
        <f t="shared" si="5"/>
        <v>-2.8199999999999985</v>
      </c>
      <c r="T64" s="155">
        <f t="shared" si="25"/>
        <v>0.8493589743589745</v>
      </c>
      <c r="U64" s="107">
        <f>F64-травень!F64</f>
        <v>4</v>
      </c>
      <c r="V64" s="110">
        <f>G64-травень!G64</f>
        <v>1.08</v>
      </c>
      <c r="W64" s="111">
        <f t="shared" si="10"/>
        <v>-2.92</v>
      </c>
      <c r="X64" s="155">
        <f t="shared" si="26"/>
        <v>0.27</v>
      </c>
      <c r="Y64" s="197">
        <f t="shared" si="15"/>
        <v>-0.21241708741708742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 t="shared" si="19"/>
        <v>451.3800000000001</v>
      </c>
      <c r="I65" s="213">
        <f t="shared" si="20"/>
        <v>1.15046</v>
      </c>
      <c r="J65" s="115">
        <f t="shared" si="22"/>
        <v>-2548.62</v>
      </c>
      <c r="K65" s="155">
        <f t="shared" si="21"/>
        <v>0.57523</v>
      </c>
      <c r="L65" s="115"/>
      <c r="M65" s="115"/>
      <c r="N65" s="115"/>
      <c r="O65" s="115">
        <v>6545.96</v>
      </c>
      <c r="P65" s="115">
        <f t="shared" si="23"/>
        <v>-545.96</v>
      </c>
      <c r="Q65" s="155">
        <f t="shared" si="24"/>
        <v>0.9165958850955398</v>
      </c>
      <c r="R65" s="115">
        <v>3267.35</v>
      </c>
      <c r="S65" s="115">
        <f t="shared" si="5"/>
        <v>184.0300000000002</v>
      </c>
      <c r="T65" s="155">
        <f t="shared" si="25"/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 t="shared" si="10"/>
        <v>111.99000000000024</v>
      </c>
      <c r="X65" s="155">
        <f t="shared" si="26"/>
        <v>1.2239800000000005</v>
      </c>
      <c r="Y65" s="197">
        <f t="shared" si="15"/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319.1</v>
      </c>
      <c r="H66" s="102">
        <f t="shared" si="19"/>
        <v>-99.53999999999996</v>
      </c>
      <c r="I66" s="213">
        <f t="shared" si="20"/>
        <v>0.7622300783489395</v>
      </c>
      <c r="J66" s="115">
        <f t="shared" si="22"/>
        <v>-546.9</v>
      </c>
      <c r="K66" s="155">
        <f t="shared" si="21"/>
        <v>0.36847575057736726</v>
      </c>
      <c r="L66" s="115"/>
      <c r="M66" s="115"/>
      <c r="N66" s="115"/>
      <c r="O66" s="115">
        <v>896.22</v>
      </c>
      <c r="P66" s="115">
        <f t="shared" si="23"/>
        <v>-30.220000000000027</v>
      </c>
      <c r="Q66" s="155">
        <f t="shared" si="24"/>
        <v>0.9662806007453527</v>
      </c>
      <c r="R66" s="115">
        <v>388.42</v>
      </c>
      <c r="S66" s="115">
        <f t="shared" si="5"/>
        <v>-69.32</v>
      </c>
      <c r="T66" s="155">
        <f t="shared" si="25"/>
        <v>0.8215333916894084</v>
      </c>
      <c r="U66" s="107">
        <f>F66-травень!F66</f>
        <v>74.5</v>
      </c>
      <c r="V66" s="110">
        <f>G66-травень!G66</f>
        <v>22.170000000000016</v>
      </c>
      <c r="W66" s="111">
        <f t="shared" si="10"/>
        <v>-52.329999999999984</v>
      </c>
      <c r="X66" s="155">
        <f t="shared" si="26"/>
        <v>0.2975838926174499</v>
      </c>
      <c r="Y66" s="197">
        <f t="shared" si="15"/>
        <v>-0.1447472090559443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240.26</v>
      </c>
      <c r="H67" s="71">
        <f t="shared" si="19"/>
        <v>-109.16000000000003</v>
      </c>
      <c r="I67" s="209">
        <f t="shared" si="20"/>
        <v>0.6875965886325911</v>
      </c>
      <c r="J67" s="72">
        <f t="shared" si="22"/>
        <v>-487.94000000000005</v>
      </c>
      <c r="K67" s="75">
        <f t="shared" si="21"/>
        <v>0.3299368305410601</v>
      </c>
      <c r="L67" s="72"/>
      <c r="M67" s="72"/>
      <c r="N67" s="72"/>
      <c r="O67" s="72">
        <v>760.62</v>
      </c>
      <c r="P67" s="72">
        <f t="shared" si="23"/>
        <v>-32.41999999999996</v>
      </c>
      <c r="Q67" s="75">
        <f t="shared" si="24"/>
        <v>0.957376876758434</v>
      </c>
      <c r="R67" s="72">
        <v>332.53</v>
      </c>
      <c r="S67" s="203">
        <f t="shared" si="5"/>
        <v>-92.26999999999998</v>
      </c>
      <c r="T67" s="204">
        <f t="shared" si="25"/>
        <v>0.7225212762758247</v>
      </c>
      <c r="U67" s="73">
        <f>F67-травень!F67</f>
        <v>63</v>
      </c>
      <c r="V67" s="98">
        <f>G67-травень!G67</f>
        <v>4.269999999999982</v>
      </c>
      <c r="W67" s="74">
        <f t="shared" si="10"/>
        <v>-58.73000000000002</v>
      </c>
      <c r="X67" s="75">
        <f t="shared" si="26"/>
        <v>0.06777777777777749</v>
      </c>
      <c r="Y67" s="197">
        <f t="shared" si="15"/>
        <v>-0.23485560048260923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0.09</v>
      </c>
      <c r="H68" s="71">
        <f t="shared" si="19"/>
        <v>-0.31000000000000005</v>
      </c>
      <c r="I68" s="209">
        <f t="shared" si="20"/>
        <v>0.22499999999999998</v>
      </c>
      <c r="J68" s="72">
        <f t="shared" si="22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3"/>
        <v>0.8200000000000001</v>
      </c>
      <c r="Q68" s="75">
        <f t="shared" si="24"/>
        <v>5.555555555555555</v>
      </c>
      <c r="R68" s="72">
        <v>0.15</v>
      </c>
      <c r="S68" s="203">
        <f t="shared" si="5"/>
        <v>-0.06</v>
      </c>
      <c r="T68" s="204">
        <f t="shared" si="25"/>
        <v>0.6</v>
      </c>
      <c r="U68" s="73">
        <f>F68-травень!F68</f>
        <v>0.10000000000000003</v>
      </c>
      <c r="V68" s="98">
        <f>G68-травень!G68</f>
        <v>0</v>
      </c>
      <c r="W68" s="74">
        <f t="shared" si="10"/>
        <v>-0.10000000000000003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2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3"/>
        <v>0</v>
      </c>
      <c r="Q69" s="75" t="e">
        <f t="shared" si="24"/>
        <v>#DIV/0!</v>
      </c>
      <c r="R69" s="72">
        <f>O69</f>
        <v>0</v>
      </c>
      <c r="S69" s="203">
        <f t="shared" si="5"/>
        <v>0</v>
      </c>
      <c r="T69" s="204" t="e">
        <f t="shared" si="25"/>
        <v>#DIV/0!</v>
      </c>
      <c r="U69" s="73">
        <f>F69-травень!F69</f>
        <v>0</v>
      </c>
      <c r="V69" s="98">
        <f>G69-травень!G69</f>
        <v>0</v>
      </c>
      <c r="W69" s="74">
        <f t="shared" si="10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62.21</v>
      </c>
      <c r="H70" s="71">
        <f t="shared" si="19"/>
        <v>-6.609999999999992</v>
      </c>
      <c r="I70" s="209">
        <f t="shared" si="20"/>
        <v>0.9039523394362106</v>
      </c>
      <c r="J70" s="72">
        <f t="shared" si="22"/>
        <v>-74.59</v>
      </c>
      <c r="K70" s="75">
        <f t="shared" si="21"/>
        <v>0.4547514619883041</v>
      </c>
      <c r="L70" s="72"/>
      <c r="M70" s="72"/>
      <c r="N70" s="72"/>
      <c r="O70" s="72">
        <v>135.42</v>
      </c>
      <c r="P70" s="72">
        <f t="shared" si="23"/>
        <v>1.3800000000000239</v>
      </c>
      <c r="Q70" s="75">
        <f t="shared" si="24"/>
        <v>1.01019051838724</v>
      </c>
      <c r="R70" s="72">
        <v>55.74</v>
      </c>
      <c r="S70" s="203">
        <f t="shared" si="5"/>
        <v>6.469999999999999</v>
      </c>
      <c r="T70" s="204">
        <f t="shared" si="25"/>
        <v>1.1160746322210262</v>
      </c>
      <c r="U70" s="73">
        <f>F70-травень!F70</f>
        <v>11.399999999999991</v>
      </c>
      <c r="V70" s="98">
        <f>G70-травень!G70</f>
        <v>1.3599999999999994</v>
      </c>
      <c r="W70" s="74">
        <f t="shared" si="10"/>
        <v>-10.039999999999992</v>
      </c>
      <c r="X70" s="75">
        <f t="shared" si="26"/>
        <v>0.11929824561403513</v>
      </c>
      <c r="Y70" s="197">
        <f t="shared" si="15"/>
        <v>0.10588411383378626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2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3"/>
        <v>0.96</v>
      </c>
      <c r="Q71" s="155">
        <f t="shared" si="24"/>
        <v>1.4705882352941175</v>
      </c>
      <c r="R71" s="115">
        <v>2.04</v>
      </c>
      <c r="S71" s="115">
        <f t="shared" si="5"/>
        <v>-2.04</v>
      </c>
      <c r="T71" s="155">
        <f t="shared" si="25"/>
        <v>0</v>
      </c>
      <c r="U71" s="107">
        <f>F71-травень!F71</f>
        <v>0</v>
      </c>
      <c r="V71" s="110">
        <f>G71-травень!G71</f>
        <v>0</v>
      </c>
      <c r="W71" s="111">
        <f t="shared" si="10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3037.3</v>
      </c>
      <c r="H72" s="102">
        <f t="shared" si="19"/>
        <v>-931.3499999999999</v>
      </c>
      <c r="I72" s="213">
        <f t="shared" si="20"/>
        <v>0.7653232207425699</v>
      </c>
      <c r="J72" s="115">
        <f t="shared" si="22"/>
        <v>-5132.7</v>
      </c>
      <c r="K72" s="155">
        <f t="shared" si="21"/>
        <v>0.3717625458996328</v>
      </c>
      <c r="L72" s="115"/>
      <c r="M72" s="115"/>
      <c r="N72" s="115"/>
      <c r="O72" s="115">
        <v>8086.92</v>
      </c>
      <c r="P72" s="115">
        <f t="shared" si="23"/>
        <v>83.07999999999993</v>
      </c>
      <c r="Q72" s="155">
        <f t="shared" si="24"/>
        <v>1.0102733797292418</v>
      </c>
      <c r="R72" s="115">
        <v>4834.79</v>
      </c>
      <c r="S72" s="115">
        <f t="shared" si="5"/>
        <v>-1797.4899999999998</v>
      </c>
      <c r="T72" s="155">
        <f t="shared" si="25"/>
        <v>0.6282175647753057</v>
      </c>
      <c r="U72" s="107">
        <f>F72-травень!F72</f>
        <v>680</v>
      </c>
      <c r="V72" s="110">
        <f>G72-травень!G72</f>
        <v>236.85000000000036</v>
      </c>
      <c r="W72" s="111">
        <f t="shared" si="10"/>
        <v>-443.14999999999964</v>
      </c>
      <c r="X72" s="155">
        <f t="shared" si="26"/>
        <v>0.3483088235294123</v>
      </c>
      <c r="Y72" s="197">
        <f t="shared" si="15"/>
        <v>-0.38205581495393615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2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5"/>
        <v>#DIV/0!</v>
      </c>
      <c r="U73" s="107">
        <f>F73-травень!F73</f>
        <v>0</v>
      </c>
      <c r="V73" s="110">
        <f>G73-травень!G73</f>
        <v>0</v>
      </c>
      <c r="W73" s="111">
        <f t="shared" si="10"/>
        <v>0</v>
      </c>
      <c r="X73" s="155" t="e">
        <f t="shared" si="26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5"/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2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5"/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 t="shared" si="26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2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5"/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 t="shared" si="26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2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5.62</v>
      </c>
      <c r="H78" s="102">
        <f t="shared" si="19"/>
        <v>-12.649999999999999</v>
      </c>
      <c r="I78" s="213">
        <f>G78/F78</f>
        <v>0.307608100711549</v>
      </c>
      <c r="J78" s="115">
        <f t="shared" si="22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 t="shared" si="5"/>
        <v>-19.759999999999998</v>
      </c>
      <c r="T78" s="155">
        <f t="shared" si="25"/>
        <v>0.22143420015760443</v>
      </c>
      <c r="U78" s="107">
        <f>F78-травень!F78</f>
        <v>2.9000000000000004</v>
      </c>
      <c r="V78" s="110">
        <f>G78-травень!G78</f>
        <v>0</v>
      </c>
      <c r="W78" s="111">
        <f>V78-U78</f>
        <v>-2.9000000000000004</v>
      </c>
      <c r="X78" s="155">
        <f t="shared" si="26"/>
        <v>0</v>
      </c>
      <c r="Y78" s="197">
        <f t="shared" si="15"/>
        <v>-0.8013594877442074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2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5"/>
        <v>-0.12761904761904763</v>
      </c>
      <c r="U79" s="107">
        <f>F79-травень!F79</f>
        <v>0</v>
      </c>
      <c r="V79" s="110">
        <f>G79-травень!G79</f>
        <v>0</v>
      </c>
      <c r="W79" s="111">
        <f>V79-U79</f>
        <v>0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789131.52</v>
      </c>
      <c r="G80" s="103">
        <f>G8+G53+G78+G79</f>
        <v>708575.75</v>
      </c>
      <c r="H80" s="103">
        <f>G80-F80</f>
        <v>-80555.77000000002</v>
      </c>
      <c r="I80" s="210">
        <f>G80/F80</f>
        <v>0.8979184483722054</v>
      </c>
      <c r="J80" s="104">
        <f>G80-E80</f>
        <v>-944959.0499999998</v>
      </c>
      <c r="K80" s="156">
        <f>G80/E80</f>
        <v>0.4285218248808553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65027.01000000001</v>
      </c>
      <c r="T80" s="156">
        <f>G80/R80</f>
        <v>1.1010444212819064</v>
      </c>
      <c r="U80" s="103">
        <f>U8+U53+U78+U79</f>
        <v>128556.40000000005</v>
      </c>
      <c r="V80" s="103">
        <f>V8+V53+V78+V79</f>
        <v>35194.38000000002</v>
      </c>
      <c r="W80" s="135">
        <f>V80-U80</f>
        <v>-93362.02000000003</v>
      </c>
      <c r="X80" s="156">
        <f>V80/U80</f>
        <v>0.27376606687803956</v>
      </c>
      <c r="Y80" s="197">
        <f t="shared" si="15"/>
        <v>-0.08089909843221776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 t="shared" si="15"/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 aca="true" t="shared" si="27" ref="S87:S99">G87-R87</f>
        <v>2.65</v>
      </c>
      <c r="T87" s="151">
        <f aca="true" t="shared" si="28" ref="T87:T102">G87/R87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 t="shared" si="15"/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29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0" ref="P88:P99">E88-O88</f>
        <v>-35.57</v>
      </c>
      <c r="Q88" s="151">
        <f aca="true" t="shared" si="31" ref="Q88:Q99">E88/O88</f>
        <v>0</v>
      </c>
      <c r="R88" s="131">
        <v>35.57</v>
      </c>
      <c r="S88" s="131">
        <f t="shared" si="27"/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 aca="true" t="shared" si="32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</v>
      </c>
      <c r="H89" s="112">
        <f t="shared" si="29"/>
        <v>96.97000000000003</v>
      </c>
      <c r="I89" s="213">
        <f>G89/F89</f>
        <v>1.0646453737591914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0"/>
        <v>7379.899</v>
      </c>
      <c r="Q89" s="147">
        <f t="shared" si="31"/>
        <v>8.866522054277613</v>
      </c>
      <c r="R89" s="117">
        <v>3.72</v>
      </c>
      <c r="S89" s="117">
        <f t="shared" si="27"/>
        <v>1593.28</v>
      </c>
      <c r="T89" s="147">
        <f t="shared" si="28"/>
        <v>429.30107526881716</v>
      </c>
      <c r="U89" s="112">
        <f>F89-травень!F89</f>
        <v>500</v>
      </c>
      <c r="V89" s="118">
        <f>G89-травень!G89</f>
        <v>0</v>
      </c>
      <c r="W89" s="117">
        <f t="shared" si="32"/>
        <v>-500</v>
      </c>
      <c r="X89" s="147">
        <f>V89/U89</f>
        <v>0</v>
      </c>
      <c r="Y89" s="197">
        <f t="shared" si="15"/>
        <v>420.43455321453956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1626.2</v>
      </c>
      <c r="H90" s="112">
        <f t="shared" si="29"/>
        <v>-3388.8</v>
      </c>
      <c r="I90" s="213">
        <f>G90/F90</f>
        <v>0.32426719840478563</v>
      </c>
      <c r="J90" s="117">
        <f aca="true" t="shared" si="33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0"/>
        <v>8305.35</v>
      </c>
      <c r="Q90" s="147">
        <f t="shared" si="31"/>
        <v>2.0198559613932328</v>
      </c>
      <c r="R90" s="117">
        <v>1617.15</v>
      </c>
      <c r="S90" s="117">
        <f t="shared" si="27"/>
        <v>9.049999999999955</v>
      </c>
      <c r="T90" s="147">
        <f t="shared" si="28"/>
        <v>1.005596265034165</v>
      </c>
      <c r="U90" s="112">
        <f>F90-травень!F90</f>
        <v>1000</v>
      </c>
      <c r="V90" s="118">
        <f>G90-травень!G90</f>
        <v>0</v>
      </c>
      <c r="W90" s="117">
        <f t="shared" si="32"/>
        <v>-1000</v>
      </c>
      <c r="X90" s="147">
        <f>V90/U90</f>
        <v>0</v>
      </c>
      <c r="Y90" s="197">
        <f t="shared" si="15"/>
        <v>-1.0142596963590678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1969</v>
      </c>
      <c r="H91" s="112">
        <f t="shared" si="29"/>
        <v>-10031</v>
      </c>
      <c r="I91" s="213">
        <f>G91/F91</f>
        <v>0.16408333333333333</v>
      </c>
      <c r="J91" s="117">
        <f t="shared" si="33"/>
        <v>-20046</v>
      </c>
      <c r="K91" s="147">
        <f>G91/E91</f>
        <v>0.08943901885078355</v>
      </c>
      <c r="L91" s="117"/>
      <c r="M91" s="117"/>
      <c r="N91" s="117"/>
      <c r="O91" s="117">
        <v>17305.88</v>
      </c>
      <c r="P91" s="117">
        <f t="shared" si="30"/>
        <v>4709.119999999999</v>
      </c>
      <c r="Q91" s="147">
        <f t="shared" si="31"/>
        <v>1.2721109819321526</v>
      </c>
      <c r="R91" s="117">
        <v>6568.22</v>
      </c>
      <c r="S91" s="117">
        <f t="shared" si="27"/>
        <v>-4599.22</v>
      </c>
      <c r="T91" s="147">
        <f t="shared" si="28"/>
        <v>0.2997768040656373</v>
      </c>
      <c r="U91" s="112">
        <f>F91-травень!F91</f>
        <v>2000</v>
      </c>
      <c r="V91" s="118">
        <f>G91-травень!G91</f>
        <v>156.47000000000003</v>
      </c>
      <c r="W91" s="117">
        <f t="shared" si="32"/>
        <v>-1843.53</v>
      </c>
      <c r="X91" s="147">
        <f>V91/U91</f>
        <v>0.07823500000000001</v>
      </c>
      <c r="Y91" s="197">
        <f t="shared" si="15"/>
        <v>-0.9723341778665153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6</v>
      </c>
      <c r="H92" s="112">
        <f t="shared" si="29"/>
        <v>-6</v>
      </c>
      <c r="I92" s="213">
        <f>G92/F92</f>
        <v>0.5</v>
      </c>
      <c r="J92" s="117">
        <f t="shared" si="33"/>
        <v>-18</v>
      </c>
      <c r="K92" s="147">
        <f>G92/E92</f>
        <v>0.25</v>
      </c>
      <c r="L92" s="117"/>
      <c r="M92" s="117"/>
      <c r="N92" s="117"/>
      <c r="O92" s="117">
        <v>20</v>
      </c>
      <c r="P92" s="117">
        <f t="shared" si="30"/>
        <v>4</v>
      </c>
      <c r="Q92" s="147">
        <f t="shared" si="31"/>
        <v>1.2</v>
      </c>
      <c r="R92" s="117">
        <v>7</v>
      </c>
      <c r="S92" s="117">
        <f t="shared" si="27"/>
        <v>-1</v>
      </c>
      <c r="T92" s="147">
        <f t="shared" si="28"/>
        <v>0.8571428571428571</v>
      </c>
      <c r="U92" s="112">
        <f>F92-травень!F92</f>
        <v>2</v>
      </c>
      <c r="V92" s="118">
        <f>G92-травень!G92</f>
        <v>1</v>
      </c>
      <c r="W92" s="117">
        <f t="shared" si="32"/>
        <v>-1</v>
      </c>
      <c r="X92" s="147">
        <f>V92/U92</f>
        <v>0.5</v>
      </c>
      <c r="Y92" s="197">
        <f t="shared" si="15"/>
        <v>-0.34285714285714286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5198.2</v>
      </c>
      <c r="H93" s="129">
        <f t="shared" si="29"/>
        <v>-13328.829999999998</v>
      </c>
      <c r="I93" s="216">
        <f>G93/F93</f>
        <v>0.280573842650441</v>
      </c>
      <c r="J93" s="131">
        <f t="shared" si="33"/>
        <v>-41607.83900000001</v>
      </c>
      <c r="K93" s="151">
        <f>G93/E93</f>
        <v>0.11105831877805339</v>
      </c>
      <c r="L93" s="131"/>
      <c r="M93" s="131"/>
      <c r="N93" s="131"/>
      <c r="O93" s="131">
        <v>26407.66</v>
      </c>
      <c r="P93" s="131">
        <f t="shared" si="30"/>
        <v>20398.379000000004</v>
      </c>
      <c r="Q93" s="151">
        <f t="shared" si="31"/>
        <v>1.772441746069133</v>
      </c>
      <c r="R93" s="131">
        <v>8196.1</v>
      </c>
      <c r="S93" s="117">
        <f t="shared" si="27"/>
        <v>-2997.9000000000005</v>
      </c>
      <c r="T93" s="147">
        <f t="shared" si="28"/>
        <v>0.6342284745183684</v>
      </c>
      <c r="U93" s="129">
        <f>F93-травень!F93</f>
        <v>3502</v>
      </c>
      <c r="V93" s="174">
        <f>G93-травень!G93</f>
        <v>157.47000000000025</v>
      </c>
      <c r="W93" s="131">
        <f t="shared" si="32"/>
        <v>-3344.5299999999997</v>
      </c>
      <c r="X93" s="151">
        <f>V93/U93</f>
        <v>0.04496573386636215</v>
      </c>
      <c r="Y93" s="197">
        <f t="shared" si="15"/>
        <v>-1.1382132715507647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1.43</v>
      </c>
      <c r="H94" s="112">
        <f t="shared" si="29"/>
        <v>-17.57</v>
      </c>
      <c r="I94" s="213"/>
      <c r="J94" s="117">
        <f t="shared" si="33"/>
        <v>-41.57</v>
      </c>
      <c r="K94" s="147"/>
      <c r="L94" s="117"/>
      <c r="M94" s="117"/>
      <c r="N94" s="117"/>
      <c r="O94" s="117">
        <v>49.17</v>
      </c>
      <c r="P94" s="117">
        <f t="shared" si="30"/>
        <v>-6.170000000000002</v>
      </c>
      <c r="Q94" s="147">
        <f t="shared" si="31"/>
        <v>0.8745169818995322</v>
      </c>
      <c r="R94" s="117">
        <v>35.31</v>
      </c>
      <c r="S94" s="117">
        <f t="shared" si="27"/>
        <v>-33.88</v>
      </c>
      <c r="T94" s="147">
        <f t="shared" si="28"/>
        <v>0.040498442367601244</v>
      </c>
      <c r="U94" s="112">
        <f>F94-травень!F94</f>
        <v>4</v>
      </c>
      <c r="V94" s="118">
        <f>G94-травень!G94</f>
        <v>0</v>
      </c>
      <c r="W94" s="117">
        <f t="shared" si="32"/>
        <v>-4</v>
      </c>
      <c r="X94" s="147"/>
      <c r="Y94" s="197">
        <f t="shared" si="15"/>
        <v>-0.834018539531931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29"/>
        <v>0</v>
      </c>
      <c r="I95" s="213"/>
      <c r="J95" s="117">
        <f t="shared" si="33"/>
        <v>0</v>
      </c>
      <c r="K95" s="224"/>
      <c r="L95" s="134"/>
      <c r="M95" s="134"/>
      <c r="N95" s="134"/>
      <c r="O95" s="134"/>
      <c r="P95" s="117">
        <f t="shared" si="30"/>
        <v>0</v>
      </c>
      <c r="Q95" s="147" t="e">
        <f t="shared" si="31"/>
        <v>#DIV/0!</v>
      </c>
      <c r="R95" s="117">
        <f>O95</f>
        <v>0</v>
      </c>
      <c r="S95" s="117">
        <f t="shared" si="27"/>
        <v>0</v>
      </c>
      <c r="T95" s="147" t="e">
        <f t="shared" si="28"/>
        <v>#DIV/0!</v>
      </c>
      <c r="U95" s="112">
        <f>F95-травень!F95</f>
        <v>0</v>
      </c>
      <c r="V95" s="118">
        <f>G95-травень!G95</f>
        <v>0</v>
      </c>
      <c r="W95" s="117">
        <f t="shared" si="32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5288.9</v>
      </c>
      <c r="H96" s="112">
        <f t="shared" si="29"/>
        <v>-614.1500000000005</v>
      </c>
      <c r="I96" s="213">
        <f>G96/F96</f>
        <v>0.8959605627599291</v>
      </c>
      <c r="J96" s="117">
        <f t="shared" si="33"/>
        <v>-3761.1000000000004</v>
      </c>
      <c r="K96" s="147">
        <f>G96/E96</f>
        <v>0.5844088397790055</v>
      </c>
      <c r="L96" s="117"/>
      <c r="M96" s="117"/>
      <c r="N96" s="117"/>
      <c r="O96" s="117">
        <v>8033.94</v>
      </c>
      <c r="P96" s="117">
        <f t="shared" si="30"/>
        <v>1016.0600000000004</v>
      </c>
      <c r="Q96" s="147">
        <f t="shared" si="31"/>
        <v>1.1264709470073215</v>
      </c>
      <c r="R96" s="117">
        <v>5104.01</v>
      </c>
      <c r="S96" s="117">
        <f t="shared" si="27"/>
        <v>184.88999999999942</v>
      </c>
      <c r="T96" s="147">
        <f t="shared" si="28"/>
        <v>1.0362244588078784</v>
      </c>
      <c r="U96" s="112">
        <f>F96-травень!F96</f>
        <v>1.1000000000003638</v>
      </c>
      <c r="V96" s="118">
        <f>G96-травень!G96</f>
        <v>0.17999999999938154</v>
      </c>
      <c r="W96" s="117">
        <f t="shared" si="32"/>
        <v>-0.9200000000009823</v>
      </c>
      <c r="X96" s="147">
        <f>V96/U96</f>
        <v>0.1636363636357473</v>
      </c>
      <c r="Y96" s="197">
        <f t="shared" si="15"/>
        <v>-0.09024648819944314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29"/>
        <v>0</v>
      </c>
      <c r="I97" s="213"/>
      <c r="J97" s="117">
        <f t="shared" si="33"/>
        <v>0</v>
      </c>
      <c r="K97" s="147"/>
      <c r="L97" s="117"/>
      <c r="M97" s="117"/>
      <c r="N97" s="117"/>
      <c r="O97" s="117">
        <v>0.1</v>
      </c>
      <c r="P97" s="117">
        <f t="shared" si="30"/>
        <v>-0.1</v>
      </c>
      <c r="Q97" s="147">
        <f t="shared" si="31"/>
        <v>0</v>
      </c>
      <c r="R97" s="117">
        <v>0</v>
      </c>
      <c r="S97" s="117">
        <f t="shared" si="27"/>
        <v>0</v>
      </c>
      <c r="T97" s="147" t="e">
        <f t="shared" si="28"/>
        <v>#DIV/0!</v>
      </c>
      <c r="U97" s="112">
        <f>F97-квітень!F97</f>
        <v>-2844.45</v>
      </c>
      <c r="V97" s="118">
        <f>G97-березень!G96</f>
        <v>0</v>
      </c>
      <c r="W97" s="117">
        <f t="shared" si="32"/>
        <v>2844.45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5290.33</v>
      </c>
      <c r="H98" s="129">
        <f t="shared" si="29"/>
        <v>-631.7200000000003</v>
      </c>
      <c r="I98" s="216">
        <f>G98/F98</f>
        <v>0.8933274795045634</v>
      </c>
      <c r="J98" s="131">
        <f t="shared" si="33"/>
        <v>-3802.67</v>
      </c>
      <c r="K98" s="151">
        <f>G98/E98</f>
        <v>0.5818024854283514</v>
      </c>
      <c r="L98" s="131"/>
      <c r="M98" s="131"/>
      <c r="N98" s="131"/>
      <c r="O98" s="131">
        <v>8083.21</v>
      </c>
      <c r="P98" s="131">
        <f t="shared" si="30"/>
        <v>1009.79</v>
      </c>
      <c r="Q98" s="151">
        <f t="shared" si="31"/>
        <v>1.1249243802895137</v>
      </c>
      <c r="R98" s="131">
        <v>5139.37</v>
      </c>
      <c r="S98" s="117">
        <f t="shared" si="27"/>
        <v>150.96000000000004</v>
      </c>
      <c r="T98" s="147">
        <f t="shared" si="28"/>
        <v>1.0293732500287</v>
      </c>
      <c r="U98" s="129">
        <f>F98-травень!F98</f>
        <v>5.100000000000364</v>
      </c>
      <c r="V98" s="174">
        <f>G98-травень!G98</f>
        <v>0.17999999999938154</v>
      </c>
      <c r="W98" s="131">
        <f t="shared" si="32"/>
        <v>-4.920000000000982</v>
      </c>
      <c r="X98" s="151">
        <f>V98/U98</f>
        <v>0.03529411764693504</v>
      </c>
      <c r="Y98" s="197">
        <f t="shared" si="15"/>
        <v>-0.09555113026081363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18.69</v>
      </c>
      <c r="H99" s="112">
        <f t="shared" si="29"/>
        <v>-5.829999999999998</v>
      </c>
      <c r="I99" s="213">
        <f>G99/F99</f>
        <v>0.7622349102773247</v>
      </c>
      <c r="J99" s="117">
        <f t="shared" si="33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0"/>
        <v>9.452999999999996</v>
      </c>
      <c r="Q99" s="147">
        <f t="shared" si="31"/>
        <v>1.2490252897787144</v>
      </c>
      <c r="R99" s="131">
        <v>7.74</v>
      </c>
      <c r="S99" s="117">
        <f t="shared" si="27"/>
        <v>10.950000000000001</v>
      </c>
      <c r="T99" s="147">
        <f t="shared" si="28"/>
        <v>2.414728682170543</v>
      </c>
      <c r="U99" s="112">
        <f>F99-травень!F99</f>
        <v>8.77</v>
      </c>
      <c r="V99" s="118">
        <f>G99-травень!G99</f>
        <v>0</v>
      </c>
      <c r="W99" s="117">
        <f t="shared" si="32"/>
        <v>-8.77</v>
      </c>
      <c r="X99" s="147">
        <f>V99/U99</f>
        <v>0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8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10516.66</v>
      </c>
      <c r="H101" s="184">
        <f>G101-F101</f>
        <v>-13956.939999999999</v>
      </c>
      <c r="I101" s="217">
        <f>G101/F101</f>
        <v>0.42971446783472805</v>
      </c>
      <c r="J101" s="177">
        <f>G101-E101</f>
        <v>-45429.792</v>
      </c>
      <c r="K101" s="178">
        <f>G101/E101</f>
        <v>0.1879772465285198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-2859.4799999999996</v>
      </c>
      <c r="T101" s="178">
        <f t="shared" si="28"/>
        <v>0.7862253235985868</v>
      </c>
      <c r="U101" s="183">
        <f>U87+U88+U93+U98+U99</f>
        <v>3515.8700000000003</v>
      </c>
      <c r="V101" s="183">
        <f>V87+V88+V93+V98+V99</f>
        <v>157.64999999999964</v>
      </c>
      <c r="W101" s="177">
        <f>V101-U101</f>
        <v>-3358.2200000000007</v>
      </c>
      <c r="X101" s="178">
        <f>V101/U101</f>
        <v>0.044839541848816826</v>
      </c>
      <c r="Y101" s="197">
        <f>T101-Q101</f>
        <v>-0.8325127213568657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813605.12</v>
      </c>
      <c r="G102" s="183">
        <f>G80+G101</f>
        <v>719092.41</v>
      </c>
      <c r="H102" s="184">
        <f>G102-F102</f>
        <v>-94512.70999999996</v>
      </c>
      <c r="I102" s="217">
        <f>G102/F102</f>
        <v>0.8838346666255001</v>
      </c>
      <c r="J102" s="177">
        <f>G102-E102</f>
        <v>-990388.8419999998</v>
      </c>
      <c r="K102" s="178">
        <f>G102/E102</f>
        <v>0.4206494860114442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62167.53000000001</v>
      </c>
      <c r="T102" s="178">
        <f t="shared" si="28"/>
        <v>1.0946341536036814</v>
      </c>
      <c r="U102" s="184">
        <f>U80+U101</f>
        <v>132072.27000000005</v>
      </c>
      <c r="V102" s="184">
        <f>V80+V101</f>
        <v>35352.03000000002</v>
      </c>
      <c r="W102" s="177">
        <f>V102-U102</f>
        <v>-96720.24000000002</v>
      </c>
      <c r="X102" s="178">
        <f>V102/U102</f>
        <v>0.2676718587482445</v>
      </c>
      <c r="Y102" s="197">
        <f>T102-Q102</f>
        <v>-0.09784008024728674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14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5753.983571428573</v>
      </c>
      <c r="H105" s="268"/>
      <c r="I105" s="268"/>
      <c r="J105" s="268"/>
      <c r="V105" s="267">
        <f>IF(W80&lt;0,ABS(W80/C104),0)</f>
        <v>6668.715714285717</v>
      </c>
    </row>
    <row r="106" spans="2:7" ht="30.75">
      <c r="B106" s="270" t="s">
        <v>163</v>
      </c>
      <c r="C106" s="271">
        <v>43259</v>
      </c>
      <c r="D106" s="267"/>
      <c r="E106" s="267">
        <v>2877.6</v>
      </c>
      <c r="F106" s="78"/>
      <c r="G106" s="4" t="s">
        <v>164</v>
      </c>
    </row>
    <row r="107" spans="3:10" ht="15">
      <c r="C107" s="271">
        <v>43258</v>
      </c>
      <c r="D107" s="267"/>
      <c r="E107" s="267">
        <v>13986</v>
      </c>
      <c r="F107" s="78"/>
      <c r="G107" s="469"/>
      <c r="H107" s="469"/>
      <c r="I107" s="273"/>
      <c r="J107" s="274"/>
    </row>
    <row r="108" spans="3:10" ht="15">
      <c r="C108" s="271">
        <v>43257</v>
      </c>
      <c r="D108" s="267"/>
      <c r="E108" s="267">
        <v>6253.3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'[1]залишки'!$G$6/1000</f>
        <v>625.368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4" ref="E113:W113">E60+E63+E64</f>
        <v>2095</v>
      </c>
      <c r="F113" s="278">
        <f t="shared" si="34"/>
        <v>1011</v>
      </c>
      <c r="G113" s="435">
        <f t="shared" si="34"/>
        <v>889.1</v>
      </c>
      <c r="H113" s="278">
        <f t="shared" si="34"/>
        <v>-121.9</v>
      </c>
      <c r="I113" s="436">
        <f>G113/F113</f>
        <v>0.8794263105835807</v>
      </c>
      <c r="J113" s="278">
        <f t="shared" si="34"/>
        <v>-1205.8999999999999</v>
      </c>
      <c r="K113" s="436">
        <f>G113/E113</f>
        <v>0.4243914081145585</v>
      </c>
      <c r="L113" s="278">
        <f t="shared" si="34"/>
        <v>0</v>
      </c>
      <c r="M113" s="278">
        <f t="shared" si="34"/>
        <v>0</v>
      </c>
      <c r="N113" s="278">
        <f t="shared" si="34"/>
        <v>0</v>
      </c>
      <c r="O113" s="278">
        <f t="shared" si="34"/>
        <v>1956.6200000000001</v>
      </c>
      <c r="P113" s="278">
        <f t="shared" si="34"/>
        <v>138.37999999999994</v>
      </c>
      <c r="Q113" s="436">
        <f>E113/O113</f>
        <v>1.0707240036389283</v>
      </c>
      <c r="R113" s="278">
        <f t="shared" si="34"/>
        <v>910.45</v>
      </c>
      <c r="S113" s="278">
        <f t="shared" si="34"/>
        <v>-21.349999999999973</v>
      </c>
      <c r="T113" s="436">
        <f>G113/R113</f>
        <v>0.9765500576637927</v>
      </c>
      <c r="U113" s="278">
        <f t="shared" si="34"/>
        <v>184</v>
      </c>
      <c r="V113" s="288">
        <f t="shared" si="34"/>
        <v>54.08</v>
      </c>
      <c r="W113" s="278">
        <f t="shared" si="34"/>
        <v>-129.92</v>
      </c>
      <c r="X113" s="436">
        <f>V113/U113</f>
        <v>0.29391304347826086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770146.77</v>
      </c>
      <c r="G115" s="289">
        <f>G9+G15+G18+G19+G23+G54+G57+G59+G71+G78+G94+G96</f>
        <v>689488.31</v>
      </c>
      <c r="H115" s="267">
        <f>H9+H15+H18+H19+H23+H54+H57+H59+H71+H78+H94+H96</f>
        <v>-80658.46000000002</v>
      </c>
      <c r="I115" s="163">
        <f>G115/F115</f>
        <v>0.8952687161175785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18010.579999999998</v>
      </c>
      <c r="H116" s="267">
        <f>H55+H58+H60+H63+H64+H65+H72+H76+H89+H90+H91+H92+H99</f>
        <v>-12869.13</v>
      </c>
      <c r="I116" s="163">
        <f>G116/F116</f>
        <v>0.5832496483937186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11583.99</v>
      </c>
      <c r="H117" s="267">
        <f>H56+H62+H66+H79</f>
        <v>-994.6500000000003</v>
      </c>
      <c r="I117" s="163">
        <f>G117/F117</f>
        <v>0.9209254736601096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813605.12</v>
      </c>
      <c r="G118" s="440">
        <f>G115+G116+G117</f>
        <v>719082.88</v>
      </c>
      <c r="H118" s="439">
        <f>H115+H116+H117</f>
        <v>-94522.24000000002</v>
      </c>
      <c r="I118" s="441">
        <f>G118/F118</f>
        <v>0.8838229533265474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-9.53000000002794</v>
      </c>
      <c r="H119" s="267">
        <f>H118-H102</f>
        <v>-9.530000000057044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5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6" ref="E125:J125">E124+E101</f>
        <v>74048.512</v>
      </c>
      <c r="F125" s="295">
        <f t="shared" si="36"/>
        <v>44727.92</v>
      </c>
      <c r="G125" s="295">
        <f t="shared" si="36"/>
        <v>12668.919999999998</v>
      </c>
      <c r="H125" s="295">
        <f t="shared" si="36"/>
        <v>-32059</v>
      </c>
      <c r="I125" s="447">
        <f t="shared" si="35"/>
        <v>0.28324411240227576</v>
      </c>
      <c r="J125" s="295">
        <f t="shared" si="36"/>
        <v>-61379.592000000004</v>
      </c>
      <c r="K125" s="447">
        <f>G125/F125</f>
        <v>0.28324411240227576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7" ref="E126:J126">E102+E124</f>
        <v>1727583.312</v>
      </c>
      <c r="F126" s="295">
        <f t="shared" si="37"/>
        <v>833859.44</v>
      </c>
      <c r="G126" s="295">
        <f t="shared" si="37"/>
        <v>721244.67</v>
      </c>
      <c r="H126" s="295">
        <f t="shared" si="37"/>
        <v>-112614.76999999996</v>
      </c>
      <c r="I126" s="447">
        <f t="shared" si="35"/>
        <v>0.8649475384004768</v>
      </c>
      <c r="J126" s="295">
        <f t="shared" si="37"/>
        <v>-1006338.6419999999</v>
      </c>
      <c r="K126" s="447">
        <f>G126/F126</f>
        <v>0.8649475384004768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5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5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5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5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8" ref="E131:J131">E126+E127+E130</f>
        <v>3227258.512</v>
      </c>
      <c r="F131" s="314">
        <f t="shared" si="38"/>
        <v>1155946.17</v>
      </c>
      <c r="G131" s="314">
        <f t="shared" si="38"/>
        <v>721244.67</v>
      </c>
      <c r="H131" s="314">
        <f t="shared" si="38"/>
        <v>-434701.49999999994</v>
      </c>
      <c r="I131" s="449">
        <f t="shared" si="35"/>
        <v>0.6239431287704341</v>
      </c>
      <c r="J131" s="314">
        <f t="shared" si="38"/>
        <v>-2506013.8419999997</v>
      </c>
      <c r="K131" s="449">
        <f>G131/E131</f>
        <v>0.22348524833637498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39" ref="D139:X140">D17</f>
        <v>0</v>
      </c>
      <c r="E139" s="323">
        <f t="shared" si="39"/>
        <v>0</v>
      </c>
      <c r="F139" s="323">
        <f t="shared" si="39"/>
        <v>0</v>
      </c>
      <c r="G139" s="323">
        <f t="shared" si="39"/>
        <v>0</v>
      </c>
      <c r="H139" s="323">
        <f t="shared" si="39"/>
        <v>0</v>
      </c>
      <c r="I139" s="357">
        <f t="shared" si="39"/>
        <v>0</v>
      </c>
      <c r="J139" s="323">
        <f t="shared" si="39"/>
        <v>0</v>
      </c>
      <c r="K139" s="357">
        <f t="shared" si="39"/>
        <v>0</v>
      </c>
      <c r="L139" s="323">
        <f t="shared" si="39"/>
        <v>0</v>
      </c>
      <c r="M139" s="323">
        <f t="shared" si="39"/>
        <v>0</v>
      </c>
      <c r="N139" s="323">
        <f t="shared" si="39"/>
        <v>0</v>
      </c>
      <c r="O139" s="323">
        <f t="shared" si="39"/>
        <v>0.49</v>
      </c>
      <c r="P139" s="323">
        <f t="shared" si="39"/>
        <v>-0.49</v>
      </c>
      <c r="Q139" s="357">
        <f t="shared" si="39"/>
        <v>0</v>
      </c>
      <c r="R139" s="323">
        <f t="shared" si="39"/>
        <v>0</v>
      </c>
      <c r="S139" s="323">
        <f t="shared" si="39"/>
        <v>0</v>
      </c>
      <c r="T139" s="357" t="e">
        <f t="shared" si="39"/>
        <v>#DIV/0!</v>
      </c>
      <c r="U139" s="323">
        <f t="shared" si="39"/>
        <v>0</v>
      </c>
      <c r="V139" s="323">
        <f t="shared" si="39"/>
        <v>0</v>
      </c>
      <c r="W139" s="323">
        <f t="shared" si="39"/>
        <v>0</v>
      </c>
      <c r="X139" s="357">
        <f t="shared" si="39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t="shared" si="39"/>
        <v>235.6</v>
      </c>
      <c r="E140" s="323">
        <f t="shared" si="39"/>
        <v>235.6</v>
      </c>
      <c r="F140" s="323">
        <f t="shared" si="39"/>
        <v>140.5</v>
      </c>
      <c r="G140" s="323">
        <f t="shared" si="39"/>
        <v>194.24</v>
      </c>
      <c r="H140" s="323">
        <f t="shared" si="39"/>
        <v>53.74000000000001</v>
      </c>
      <c r="I140" s="357">
        <f t="shared" si="39"/>
        <v>1.382491103202847</v>
      </c>
      <c r="J140" s="323">
        <f t="shared" si="39"/>
        <v>-41.359999999999985</v>
      </c>
      <c r="K140" s="357">
        <f t="shared" si="39"/>
        <v>82.44482173174873</v>
      </c>
      <c r="L140" s="323">
        <f t="shared" si="39"/>
        <v>0</v>
      </c>
      <c r="M140" s="323">
        <f t="shared" si="39"/>
        <v>0</v>
      </c>
      <c r="N140" s="323">
        <f t="shared" si="39"/>
        <v>0</v>
      </c>
      <c r="O140" s="323">
        <f t="shared" si="39"/>
        <v>220.59</v>
      </c>
      <c r="P140" s="323">
        <f t="shared" si="39"/>
        <v>15.009999999999991</v>
      </c>
      <c r="Q140" s="357">
        <f t="shared" si="39"/>
        <v>1.0680447889750215</v>
      </c>
      <c r="R140" s="323">
        <f t="shared" si="39"/>
        <v>118.46</v>
      </c>
      <c r="S140" s="323">
        <f t="shared" si="39"/>
        <v>75.78000000000002</v>
      </c>
      <c r="T140" s="357">
        <f t="shared" si="39"/>
        <v>1.639709606618268</v>
      </c>
      <c r="U140" s="323">
        <f t="shared" si="39"/>
        <v>0</v>
      </c>
      <c r="V140" s="323">
        <f t="shared" si="39"/>
        <v>0</v>
      </c>
      <c r="W140" s="323">
        <f t="shared" si="39"/>
        <v>0</v>
      </c>
      <c r="X140" s="357" t="e">
        <f t="shared" si="39"/>
        <v>#DIV/0!</v>
      </c>
      <c r="Y140" s="446">
        <f aca="true" t="shared" si="40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1" ref="D141:X144">D56</f>
        <v>158</v>
      </c>
      <c r="E141" s="333">
        <f t="shared" si="41"/>
        <v>158</v>
      </c>
      <c r="F141" s="333">
        <f t="shared" si="41"/>
        <v>70</v>
      </c>
      <c r="G141" s="333">
        <f t="shared" si="41"/>
        <v>51.82</v>
      </c>
      <c r="H141" s="333">
        <f t="shared" si="41"/>
        <v>-18.18</v>
      </c>
      <c r="I141" s="442">
        <f t="shared" si="41"/>
        <v>0.7402857142857143</v>
      </c>
      <c r="J141" s="333">
        <f t="shared" si="41"/>
        <v>-106.18</v>
      </c>
      <c r="K141" s="442">
        <f t="shared" si="41"/>
        <v>0.3279746835443038</v>
      </c>
      <c r="L141" s="333">
        <f t="shared" si="41"/>
        <v>0</v>
      </c>
      <c r="M141" s="333">
        <f t="shared" si="41"/>
        <v>0</v>
      </c>
      <c r="N141" s="333">
        <f t="shared" si="41"/>
        <v>0</v>
      </c>
      <c r="O141" s="333">
        <f t="shared" si="41"/>
        <v>153.3</v>
      </c>
      <c r="P141" s="333">
        <f t="shared" si="41"/>
        <v>4.699999999999989</v>
      </c>
      <c r="Q141" s="442">
        <f t="shared" si="41"/>
        <v>1.030658838878017</v>
      </c>
      <c r="R141" s="333">
        <f t="shared" si="41"/>
        <v>102.8</v>
      </c>
      <c r="S141" s="333">
        <f t="shared" si="41"/>
        <v>-50.98</v>
      </c>
      <c r="T141" s="442">
        <f t="shared" si="41"/>
        <v>0.5040856031128405</v>
      </c>
      <c r="U141" s="333">
        <f t="shared" si="41"/>
        <v>14</v>
      </c>
      <c r="V141" s="333">
        <f t="shared" si="41"/>
        <v>0</v>
      </c>
      <c r="W141" s="333">
        <f t="shared" si="41"/>
        <v>-14</v>
      </c>
      <c r="X141" s="357">
        <f t="shared" si="41"/>
        <v>0</v>
      </c>
      <c r="Y141" s="446">
        <f t="shared" si="40"/>
        <v>-0.5265732357651765</v>
      </c>
      <c r="Z141" s="163"/>
    </row>
    <row r="142" spans="2:26" ht="30.75" hidden="1">
      <c r="B142" s="336" t="s">
        <v>34</v>
      </c>
      <c r="C142" s="337">
        <v>21080900</v>
      </c>
      <c r="D142" s="338">
        <f t="shared" si="41"/>
        <v>13</v>
      </c>
      <c r="E142" s="338">
        <f t="shared" si="41"/>
        <v>13</v>
      </c>
      <c r="F142" s="338">
        <f t="shared" si="41"/>
        <v>7</v>
      </c>
      <c r="G142" s="338">
        <f t="shared" si="41"/>
        <v>2.02</v>
      </c>
      <c r="H142" s="338">
        <f t="shared" si="41"/>
        <v>-4.98</v>
      </c>
      <c r="I142" s="443">
        <f t="shared" si="41"/>
        <v>0.2885714285714286</v>
      </c>
      <c r="J142" s="338">
        <f t="shared" si="41"/>
        <v>-10.98</v>
      </c>
      <c r="K142" s="443">
        <f t="shared" si="41"/>
        <v>0.1553846153846154</v>
      </c>
      <c r="L142" s="338">
        <f t="shared" si="41"/>
        <v>0</v>
      </c>
      <c r="M142" s="338">
        <f t="shared" si="41"/>
        <v>0</v>
      </c>
      <c r="N142" s="338">
        <f t="shared" si="41"/>
        <v>0</v>
      </c>
      <c r="O142" s="338">
        <f t="shared" si="41"/>
        <v>12.95</v>
      </c>
      <c r="P142" s="338">
        <f t="shared" si="41"/>
        <v>0.05000000000000071</v>
      </c>
      <c r="Q142" s="443">
        <f t="shared" si="41"/>
        <v>1.0038610038610039</v>
      </c>
      <c r="R142" s="338">
        <f t="shared" si="41"/>
        <v>2.03</v>
      </c>
      <c r="S142" s="338">
        <f t="shared" si="41"/>
        <v>-0.009999999999999787</v>
      </c>
      <c r="T142" s="443">
        <f t="shared" si="41"/>
        <v>0</v>
      </c>
      <c r="U142" s="338">
        <f t="shared" si="41"/>
        <v>1</v>
      </c>
      <c r="V142" s="338">
        <f t="shared" si="41"/>
        <v>0</v>
      </c>
      <c r="W142" s="338">
        <f t="shared" si="41"/>
        <v>-1</v>
      </c>
      <c r="X142" s="445">
        <f t="shared" si="41"/>
        <v>0</v>
      </c>
      <c r="Y142" s="446">
        <f t="shared" si="40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t="shared" si="41"/>
        <v>744</v>
      </c>
      <c r="E143" s="323">
        <f t="shared" si="41"/>
        <v>744</v>
      </c>
      <c r="F143" s="323">
        <f t="shared" si="41"/>
        <v>328.43</v>
      </c>
      <c r="G143" s="323">
        <f t="shared" si="41"/>
        <v>617.3</v>
      </c>
      <c r="H143" s="323">
        <f t="shared" si="41"/>
        <v>288.86999999999995</v>
      </c>
      <c r="I143" s="357">
        <f t="shared" si="41"/>
        <v>1.879548153335566</v>
      </c>
      <c r="J143" s="323">
        <f t="shared" si="41"/>
        <v>-126.70000000000005</v>
      </c>
      <c r="K143" s="357">
        <f t="shared" si="41"/>
        <v>0.8297043010752687</v>
      </c>
      <c r="L143" s="323">
        <f t="shared" si="41"/>
        <v>0</v>
      </c>
      <c r="M143" s="323">
        <f t="shared" si="41"/>
        <v>0</v>
      </c>
      <c r="N143" s="323">
        <f t="shared" si="41"/>
        <v>0</v>
      </c>
      <c r="O143" s="323">
        <f t="shared" si="41"/>
        <v>705.31</v>
      </c>
      <c r="P143" s="323">
        <f t="shared" si="41"/>
        <v>38.690000000000055</v>
      </c>
      <c r="Q143" s="357">
        <f t="shared" si="41"/>
        <v>1.0548553118486907</v>
      </c>
      <c r="R143" s="323">
        <f t="shared" si="41"/>
        <v>501.53</v>
      </c>
      <c r="S143" s="323">
        <f t="shared" si="41"/>
        <v>115.76999999999998</v>
      </c>
      <c r="T143" s="357">
        <f t="shared" si="41"/>
        <v>1.230833649033956</v>
      </c>
      <c r="U143" s="323">
        <f t="shared" si="41"/>
        <v>60</v>
      </c>
      <c r="V143" s="323">
        <f t="shared" si="41"/>
        <v>72.51999999999998</v>
      </c>
      <c r="W143" s="323">
        <f t="shared" si="41"/>
        <v>12.519999999999982</v>
      </c>
      <c r="X143" s="357">
        <f t="shared" si="41"/>
        <v>1.2086666666666663</v>
      </c>
      <c r="Y143" s="446">
        <f t="shared" si="40"/>
        <v>0.17597833718526523</v>
      </c>
      <c r="Z143" s="163"/>
    </row>
    <row r="144" spans="2:26" ht="46.5" hidden="1">
      <c r="B144" s="329" t="s">
        <v>67</v>
      </c>
      <c r="C144" s="322">
        <v>21081500</v>
      </c>
      <c r="D144" s="323">
        <f t="shared" si="41"/>
        <v>115.5</v>
      </c>
      <c r="E144" s="323">
        <f t="shared" si="41"/>
        <v>115.5</v>
      </c>
      <c r="F144" s="323">
        <f t="shared" si="41"/>
        <v>50</v>
      </c>
      <c r="G144" s="323">
        <f t="shared" si="41"/>
        <v>48.18</v>
      </c>
      <c r="H144" s="323">
        <f t="shared" si="41"/>
        <v>-1.8200000000000003</v>
      </c>
      <c r="I144" s="357">
        <f t="shared" si="41"/>
        <v>0.9636</v>
      </c>
      <c r="J144" s="323">
        <f t="shared" si="41"/>
        <v>-67.32</v>
      </c>
      <c r="K144" s="357">
        <f t="shared" si="41"/>
        <v>0.41714285714285715</v>
      </c>
      <c r="L144" s="323">
        <f t="shared" si="41"/>
        <v>0</v>
      </c>
      <c r="M144" s="323">
        <f t="shared" si="41"/>
        <v>0</v>
      </c>
      <c r="N144" s="323">
        <f t="shared" si="41"/>
        <v>0</v>
      </c>
      <c r="O144" s="323">
        <f t="shared" si="41"/>
        <v>114.3</v>
      </c>
      <c r="P144" s="323">
        <f t="shared" si="41"/>
        <v>1.2000000000000028</v>
      </c>
      <c r="Q144" s="357">
        <f t="shared" si="41"/>
        <v>1.010498687664042</v>
      </c>
      <c r="R144" s="323">
        <f t="shared" si="41"/>
        <v>71.01</v>
      </c>
      <c r="S144" s="323">
        <f t="shared" si="41"/>
        <v>-22.830000000000005</v>
      </c>
      <c r="T144" s="357">
        <f t="shared" si="41"/>
        <v>0.6784959864807774</v>
      </c>
      <c r="U144" s="323">
        <f t="shared" si="41"/>
        <v>10</v>
      </c>
      <c r="V144" s="323">
        <f t="shared" si="41"/>
        <v>0</v>
      </c>
      <c r="W144" s="323">
        <f t="shared" si="41"/>
        <v>-10</v>
      </c>
      <c r="X144" s="357">
        <f t="shared" si="41"/>
        <v>0</v>
      </c>
      <c r="Y144" s="446">
        <f t="shared" si="40"/>
        <v>-0.3320027011832647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2" ref="E145:X145">E71</f>
        <v>3</v>
      </c>
      <c r="F145" s="323">
        <f t="shared" si="42"/>
        <v>1.5</v>
      </c>
      <c r="G145" s="323">
        <f t="shared" si="42"/>
        <v>0</v>
      </c>
      <c r="H145" s="323">
        <f t="shared" si="42"/>
        <v>-1.5</v>
      </c>
      <c r="I145" s="357">
        <f t="shared" si="42"/>
        <v>0</v>
      </c>
      <c r="J145" s="323">
        <f t="shared" si="42"/>
        <v>-3</v>
      </c>
      <c r="K145" s="357">
        <f t="shared" si="42"/>
        <v>0</v>
      </c>
      <c r="L145" s="323">
        <f t="shared" si="42"/>
        <v>0</v>
      </c>
      <c r="M145" s="323">
        <f t="shared" si="42"/>
        <v>0</v>
      </c>
      <c r="N145" s="323">
        <f t="shared" si="42"/>
        <v>0</v>
      </c>
      <c r="O145" s="323">
        <f t="shared" si="42"/>
        <v>2.04</v>
      </c>
      <c r="P145" s="323">
        <f t="shared" si="42"/>
        <v>0.96</v>
      </c>
      <c r="Q145" s="357">
        <f t="shared" si="42"/>
        <v>1.4705882352941175</v>
      </c>
      <c r="R145" s="323">
        <f t="shared" si="42"/>
        <v>2.04</v>
      </c>
      <c r="S145" s="323">
        <f t="shared" si="42"/>
        <v>-2.04</v>
      </c>
      <c r="T145" s="357">
        <f t="shared" si="42"/>
        <v>0</v>
      </c>
      <c r="U145" s="323">
        <f t="shared" si="42"/>
        <v>0</v>
      </c>
      <c r="V145" s="323">
        <f t="shared" si="42"/>
        <v>0</v>
      </c>
      <c r="W145" s="323">
        <f t="shared" si="42"/>
        <v>0</v>
      </c>
      <c r="X145" s="357">
        <f t="shared" si="42"/>
        <v>0</v>
      </c>
      <c r="Y145" s="446">
        <f t="shared" si="40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3" ref="E146:X147">E78</f>
        <v>35</v>
      </c>
      <c r="F146" s="345">
        <f t="shared" si="43"/>
        <v>18.27</v>
      </c>
      <c r="G146" s="345">
        <f t="shared" si="43"/>
        <v>5.62</v>
      </c>
      <c r="H146" s="345">
        <f t="shared" si="43"/>
        <v>-12.649999999999999</v>
      </c>
      <c r="I146" s="444">
        <f t="shared" si="43"/>
        <v>0.307608100711549</v>
      </c>
      <c r="J146" s="345">
        <f t="shared" si="43"/>
        <v>-29.38</v>
      </c>
      <c r="K146" s="444">
        <f t="shared" si="43"/>
        <v>0.1605714285714286</v>
      </c>
      <c r="L146" s="345">
        <f t="shared" si="43"/>
        <v>0</v>
      </c>
      <c r="M146" s="345">
        <f t="shared" si="43"/>
        <v>0</v>
      </c>
      <c r="N146" s="345">
        <f t="shared" si="43"/>
        <v>0</v>
      </c>
      <c r="O146" s="345">
        <f t="shared" si="43"/>
        <v>34.22</v>
      </c>
      <c r="P146" s="345">
        <f t="shared" si="43"/>
        <v>0.7800000000000011</v>
      </c>
      <c r="Q146" s="444">
        <f t="shared" si="43"/>
        <v>1.0227936879018118</v>
      </c>
      <c r="R146" s="345">
        <f t="shared" si="43"/>
        <v>25.38</v>
      </c>
      <c r="S146" s="345">
        <f t="shared" si="43"/>
        <v>-19.759999999999998</v>
      </c>
      <c r="T146" s="444">
        <f t="shared" si="43"/>
        <v>0.22143420015760443</v>
      </c>
      <c r="U146" s="345">
        <f t="shared" si="43"/>
        <v>2.9000000000000004</v>
      </c>
      <c r="V146" s="345">
        <f t="shared" si="43"/>
        <v>0</v>
      </c>
      <c r="W146" s="345">
        <f t="shared" si="43"/>
        <v>-2.9000000000000004</v>
      </c>
      <c r="X146" s="444">
        <f t="shared" si="43"/>
        <v>0</v>
      </c>
      <c r="Y146" s="446">
        <f t="shared" si="40"/>
        <v>-0.8013594877442074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3"/>
        <v>0</v>
      </c>
      <c r="F147" s="345">
        <f t="shared" si="43"/>
        <v>0</v>
      </c>
      <c r="G147" s="345">
        <f t="shared" si="43"/>
        <v>0.67</v>
      </c>
      <c r="H147" s="345">
        <f t="shared" si="43"/>
        <v>0.67</v>
      </c>
      <c r="I147" s="444" t="e">
        <f t="shared" si="43"/>
        <v>#DIV/0!</v>
      </c>
      <c r="J147" s="345">
        <f t="shared" si="43"/>
        <v>0.67</v>
      </c>
      <c r="K147" s="444">
        <f t="shared" si="43"/>
        <v>0</v>
      </c>
      <c r="L147" s="345">
        <f t="shared" si="43"/>
        <v>0</v>
      </c>
      <c r="M147" s="345">
        <f t="shared" si="43"/>
        <v>0</v>
      </c>
      <c r="N147" s="345">
        <f t="shared" si="43"/>
        <v>0</v>
      </c>
      <c r="O147" s="345">
        <f t="shared" si="43"/>
        <v>-4.86</v>
      </c>
      <c r="P147" s="345">
        <f t="shared" si="43"/>
        <v>4.86</v>
      </c>
      <c r="Q147" s="444">
        <f t="shared" si="43"/>
        <v>0</v>
      </c>
      <c r="R147" s="345">
        <f t="shared" si="43"/>
        <v>-5.25</v>
      </c>
      <c r="S147" s="345">
        <f t="shared" si="43"/>
        <v>5.92</v>
      </c>
      <c r="T147" s="444">
        <f t="shared" si="43"/>
        <v>-0.12761904761904763</v>
      </c>
      <c r="U147" s="345">
        <f t="shared" si="43"/>
        <v>0</v>
      </c>
      <c r="V147" s="345">
        <f t="shared" si="43"/>
        <v>0</v>
      </c>
      <c r="W147" s="345">
        <f t="shared" si="43"/>
        <v>0</v>
      </c>
      <c r="X147" s="444">
        <f t="shared" si="43"/>
        <v>0</v>
      </c>
      <c r="Y147" s="446">
        <f t="shared" si="40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919.8499999999999</v>
      </c>
      <c r="H148" s="351">
        <f>SUM(H139:H147)</f>
        <v>304.15</v>
      </c>
      <c r="I148" s="189">
        <f>G148/F148</f>
        <v>1.493990579827838</v>
      </c>
      <c r="J148" s="351">
        <f>G148-E148</f>
        <v>-384.25</v>
      </c>
      <c r="K148" s="441">
        <f>G148/E148</f>
        <v>0.7053523502798865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817.9999999999999</v>
      </c>
      <c r="S148" s="351">
        <f>SUM(S139:S147)</f>
        <v>101.84999999999998</v>
      </c>
      <c r="T148" s="189">
        <f>G148/R148</f>
        <v>1.1245110024449878</v>
      </c>
      <c r="U148" s="351">
        <f>SUM(U139:U147)</f>
        <v>87.9</v>
      </c>
      <c r="V148" s="351">
        <f>SUM(V139:V147)</f>
        <v>72.51999999999998</v>
      </c>
      <c r="W148" s="351">
        <f>SUM(W139:W147)</f>
        <v>-15.380000000000019</v>
      </c>
      <c r="X148" s="189">
        <f>V148/U148</f>
        <v>0.8250284414106938</v>
      </c>
      <c r="Y148" s="189">
        <f t="shared" si="40"/>
        <v>0.07140765441455987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4" ref="D151:X155">D60</f>
        <v>1284</v>
      </c>
      <c r="E151" s="323">
        <f t="shared" si="44"/>
        <v>1284</v>
      </c>
      <c r="F151" s="323">
        <f t="shared" si="44"/>
        <v>614</v>
      </c>
      <c r="G151" s="323">
        <f t="shared" si="44"/>
        <v>505.7</v>
      </c>
      <c r="H151" s="323">
        <f t="shared" si="44"/>
        <v>-108.30000000000001</v>
      </c>
      <c r="I151" s="357">
        <f t="shared" si="44"/>
        <v>0.823615635179153</v>
      </c>
      <c r="J151" s="323">
        <f t="shared" si="44"/>
        <v>-778.3</v>
      </c>
      <c r="K151" s="357">
        <f t="shared" si="44"/>
        <v>0.3938473520249221</v>
      </c>
      <c r="L151" s="323">
        <f t="shared" si="44"/>
        <v>0</v>
      </c>
      <c r="M151" s="323">
        <f t="shared" si="44"/>
        <v>0</v>
      </c>
      <c r="N151" s="323">
        <f t="shared" si="44"/>
        <v>0</v>
      </c>
      <c r="O151" s="323">
        <f t="shared" si="44"/>
        <v>1205.14</v>
      </c>
      <c r="P151" s="323">
        <f t="shared" si="44"/>
        <v>78.8599999999999</v>
      </c>
      <c r="Q151" s="357">
        <f t="shared" si="44"/>
        <v>1.0654363808354215</v>
      </c>
      <c r="R151" s="323">
        <f t="shared" si="44"/>
        <v>628.92</v>
      </c>
      <c r="S151" s="323">
        <f t="shared" si="44"/>
        <v>-123.21999999999997</v>
      </c>
      <c r="T151" s="357">
        <f t="shared" si="44"/>
        <v>0.8040768301214781</v>
      </c>
      <c r="U151" s="323">
        <f t="shared" si="44"/>
        <v>116</v>
      </c>
      <c r="V151" s="323">
        <f t="shared" si="44"/>
        <v>31.939999999999998</v>
      </c>
      <c r="W151" s="323">
        <f t="shared" si="44"/>
        <v>-84.06</v>
      </c>
      <c r="X151" s="357">
        <f t="shared" si="44"/>
        <v>0.2753448275862069</v>
      </c>
      <c r="Y151" s="446">
        <f t="shared" si="40"/>
        <v>-0.26135955071394334</v>
      </c>
    </row>
    <row r="152" spans="2:25" ht="15" hidden="1">
      <c r="B152" s="355" t="s">
        <v>106</v>
      </c>
      <c r="C152" s="356">
        <v>22010200</v>
      </c>
      <c r="D152" s="323">
        <f t="shared" si="44"/>
        <v>0</v>
      </c>
      <c r="E152" s="323">
        <f t="shared" si="44"/>
        <v>0</v>
      </c>
      <c r="F152" s="323">
        <f t="shared" si="44"/>
        <v>0</v>
      </c>
      <c r="G152" s="323">
        <f t="shared" si="44"/>
        <v>0</v>
      </c>
      <c r="H152" s="323">
        <f t="shared" si="44"/>
        <v>0</v>
      </c>
      <c r="I152" s="357" t="e">
        <f t="shared" si="44"/>
        <v>#DIV/0!</v>
      </c>
      <c r="J152" s="323">
        <f t="shared" si="44"/>
        <v>0</v>
      </c>
      <c r="K152" s="357" t="e">
        <f t="shared" si="44"/>
        <v>#DIV/0!</v>
      </c>
      <c r="L152" s="323">
        <f t="shared" si="44"/>
        <v>0</v>
      </c>
      <c r="M152" s="323">
        <f t="shared" si="44"/>
        <v>0</v>
      </c>
      <c r="N152" s="323">
        <f t="shared" si="44"/>
        <v>0</v>
      </c>
      <c r="O152" s="323">
        <f t="shared" si="44"/>
        <v>23.38</v>
      </c>
      <c r="P152" s="323">
        <f t="shared" si="44"/>
        <v>-23.38</v>
      </c>
      <c r="Q152" s="357">
        <f t="shared" si="44"/>
        <v>0</v>
      </c>
      <c r="R152" s="323">
        <f t="shared" si="44"/>
        <v>0</v>
      </c>
      <c r="S152" s="323">
        <f t="shared" si="44"/>
        <v>0</v>
      </c>
      <c r="T152" s="357">
        <f t="shared" si="44"/>
        <v>0</v>
      </c>
      <c r="U152" s="323">
        <f t="shared" si="44"/>
        <v>0</v>
      </c>
      <c r="V152" s="323">
        <f t="shared" si="44"/>
        <v>0</v>
      </c>
      <c r="W152" s="323">
        <f t="shared" si="44"/>
        <v>0</v>
      </c>
      <c r="X152" s="357" t="e">
        <f t="shared" si="44"/>
        <v>#DIV/0!</v>
      </c>
      <c r="Y152" s="446">
        <f t="shared" si="40"/>
        <v>0</v>
      </c>
    </row>
    <row r="153" spans="2:25" ht="15" hidden="1">
      <c r="B153" s="358" t="s">
        <v>65</v>
      </c>
      <c r="C153" s="359">
        <v>22012500</v>
      </c>
      <c r="D153" s="360">
        <f t="shared" si="44"/>
        <v>21260</v>
      </c>
      <c r="E153" s="360">
        <f t="shared" si="44"/>
        <v>22260</v>
      </c>
      <c r="F153" s="360">
        <f t="shared" si="44"/>
        <v>12090</v>
      </c>
      <c r="G153" s="360">
        <f t="shared" si="44"/>
        <v>11212.4</v>
      </c>
      <c r="H153" s="360">
        <f t="shared" si="44"/>
        <v>-877.6000000000004</v>
      </c>
      <c r="I153" s="362">
        <f t="shared" si="44"/>
        <v>0.9274110835401158</v>
      </c>
      <c r="J153" s="360">
        <f t="shared" si="44"/>
        <v>-11047.6</v>
      </c>
      <c r="K153" s="362">
        <f t="shared" si="44"/>
        <v>0.5037017070979335</v>
      </c>
      <c r="L153" s="360">
        <f t="shared" si="44"/>
        <v>0</v>
      </c>
      <c r="M153" s="360">
        <f t="shared" si="44"/>
        <v>0</v>
      </c>
      <c r="N153" s="360">
        <f t="shared" si="44"/>
        <v>0</v>
      </c>
      <c r="O153" s="360">
        <f t="shared" si="44"/>
        <v>20110.14</v>
      </c>
      <c r="P153" s="360">
        <f t="shared" si="44"/>
        <v>2149.8600000000006</v>
      </c>
      <c r="Q153" s="362">
        <f t="shared" si="44"/>
        <v>1.1069042781402816</v>
      </c>
      <c r="R153" s="360">
        <f t="shared" si="44"/>
        <v>8364.31</v>
      </c>
      <c r="S153" s="360">
        <f t="shared" si="44"/>
        <v>2848.09</v>
      </c>
      <c r="T153" s="362">
        <f t="shared" si="44"/>
        <v>1.3405050745369314</v>
      </c>
      <c r="U153" s="360">
        <f t="shared" si="44"/>
        <v>2000</v>
      </c>
      <c r="V153" s="360">
        <f t="shared" si="44"/>
        <v>657.5200000000004</v>
      </c>
      <c r="W153" s="360">
        <f t="shared" si="44"/>
        <v>-1342.4799999999996</v>
      </c>
      <c r="X153" s="362">
        <f t="shared" si="44"/>
        <v>0.3287600000000002</v>
      </c>
      <c r="Y153" s="446">
        <f t="shared" si="40"/>
        <v>0.23360079639664977</v>
      </c>
    </row>
    <row r="154" spans="2:25" ht="30.75" hidden="1">
      <c r="B154" s="358" t="s">
        <v>86</v>
      </c>
      <c r="C154" s="359">
        <v>22012600</v>
      </c>
      <c r="D154" s="360">
        <f t="shared" si="44"/>
        <v>767</v>
      </c>
      <c r="E154" s="360">
        <f t="shared" si="44"/>
        <v>767</v>
      </c>
      <c r="F154" s="360">
        <f t="shared" si="44"/>
        <v>377</v>
      </c>
      <c r="G154" s="360">
        <f t="shared" si="44"/>
        <v>367.5</v>
      </c>
      <c r="H154" s="360">
        <f t="shared" si="44"/>
        <v>-9.5</v>
      </c>
      <c r="I154" s="362">
        <f t="shared" si="44"/>
        <v>0.9748010610079576</v>
      </c>
      <c r="J154" s="360">
        <f t="shared" si="44"/>
        <v>-399.5</v>
      </c>
      <c r="K154" s="362">
        <f t="shared" si="44"/>
        <v>0.4791395045632334</v>
      </c>
      <c r="L154" s="360">
        <f t="shared" si="44"/>
        <v>0</v>
      </c>
      <c r="M154" s="360">
        <f t="shared" si="44"/>
        <v>0</v>
      </c>
      <c r="N154" s="360">
        <f t="shared" si="44"/>
        <v>0</v>
      </c>
      <c r="O154" s="360">
        <f t="shared" si="44"/>
        <v>710.04</v>
      </c>
      <c r="P154" s="360">
        <f t="shared" si="44"/>
        <v>56.960000000000036</v>
      </c>
      <c r="Q154" s="362">
        <f t="shared" si="44"/>
        <v>1.0802208326291478</v>
      </c>
      <c r="R154" s="360">
        <f t="shared" si="44"/>
        <v>262.81</v>
      </c>
      <c r="S154" s="360">
        <f t="shared" si="44"/>
        <v>104.69</v>
      </c>
      <c r="T154" s="362">
        <f t="shared" si="44"/>
        <v>1.398348616871504</v>
      </c>
      <c r="U154" s="360">
        <f t="shared" si="44"/>
        <v>64</v>
      </c>
      <c r="V154" s="360">
        <f t="shared" si="44"/>
        <v>21.060000000000002</v>
      </c>
      <c r="W154" s="360">
        <f t="shared" si="44"/>
        <v>-42.94</v>
      </c>
      <c r="X154" s="362">
        <f t="shared" si="44"/>
        <v>0.32906250000000004</v>
      </c>
      <c r="Y154" s="446">
        <f t="shared" si="40"/>
        <v>0.3181277842423562</v>
      </c>
    </row>
    <row r="155" spans="2:25" ht="30.75" hidden="1">
      <c r="B155" s="358" t="s">
        <v>90</v>
      </c>
      <c r="C155" s="359">
        <v>22012900</v>
      </c>
      <c r="D155" s="360">
        <f t="shared" si="44"/>
        <v>44</v>
      </c>
      <c r="E155" s="360">
        <f t="shared" si="44"/>
        <v>44</v>
      </c>
      <c r="F155" s="360">
        <f t="shared" si="44"/>
        <v>20</v>
      </c>
      <c r="G155" s="360">
        <f t="shared" si="44"/>
        <v>15.9</v>
      </c>
      <c r="H155" s="360">
        <f t="shared" si="44"/>
        <v>-4.1</v>
      </c>
      <c r="I155" s="362">
        <f t="shared" si="44"/>
        <v>0.795</v>
      </c>
      <c r="J155" s="360">
        <f t="shared" si="44"/>
        <v>-28.1</v>
      </c>
      <c r="K155" s="362">
        <f t="shared" si="44"/>
        <v>0.3613636363636364</v>
      </c>
      <c r="L155" s="360">
        <f t="shared" si="44"/>
        <v>0</v>
      </c>
      <c r="M155" s="360">
        <f t="shared" si="44"/>
        <v>0</v>
      </c>
      <c r="N155" s="360">
        <f t="shared" si="44"/>
        <v>0</v>
      </c>
      <c r="O155" s="360">
        <f t="shared" si="44"/>
        <v>41.44</v>
      </c>
      <c r="P155" s="360">
        <f t="shared" si="44"/>
        <v>2.5600000000000023</v>
      </c>
      <c r="Q155" s="362">
        <f t="shared" si="44"/>
        <v>1.0617760617760619</v>
      </c>
      <c r="R155" s="360">
        <f t="shared" si="44"/>
        <v>18.72</v>
      </c>
      <c r="S155" s="360">
        <f t="shared" si="44"/>
        <v>-2.8199999999999985</v>
      </c>
      <c r="T155" s="362">
        <f t="shared" si="44"/>
        <v>0.8493589743589745</v>
      </c>
      <c r="U155" s="360">
        <f t="shared" si="44"/>
        <v>4</v>
      </c>
      <c r="V155" s="360">
        <f t="shared" si="44"/>
        <v>1.08</v>
      </c>
      <c r="W155" s="360">
        <f t="shared" si="44"/>
        <v>-2.92</v>
      </c>
      <c r="X155" s="362">
        <f t="shared" si="44"/>
        <v>0.27</v>
      </c>
      <c r="Y155" s="446">
        <f t="shared" si="40"/>
        <v>-0.21241708741708742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45" ref="E156:W156">SUM(E151:E155)</f>
        <v>24355</v>
      </c>
      <c r="F156" s="351">
        <f t="shared" si="45"/>
        <v>13101</v>
      </c>
      <c r="G156" s="351">
        <f t="shared" si="45"/>
        <v>12101.5</v>
      </c>
      <c r="H156" s="351">
        <f t="shared" si="45"/>
        <v>-999.5000000000003</v>
      </c>
      <c r="I156" s="189">
        <f>G156/F156</f>
        <v>0.9237081138844363</v>
      </c>
      <c r="J156" s="351">
        <f t="shared" si="45"/>
        <v>-12253.5</v>
      </c>
      <c r="K156" s="189">
        <f>G156/E156</f>
        <v>0.4968794908642989</v>
      </c>
      <c r="L156" s="351">
        <f t="shared" si="45"/>
        <v>0</v>
      </c>
      <c r="M156" s="351">
        <f t="shared" si="45"/>
        <v>0</v>
      </c>
      <c r="N156" s="351">
        <f t="shared" si="45"/>
        <v>0</v>
      </c>
      <c r="O156" s="351">
        <f t="shared" si="45"/>
        <v>22090.14</v>
      </c>
      <c r="P156" s="351">
        <f t="shared" si="45"/>
        <v>2264.8600000000006</v>
      </c>
      <c r="Q156" s="189">
        <f>E156/O156</f>
        <v>1.1025280962456554</v>
      </c>
      <c r="R156" s="351">
        <f t="shared" si="45"/>
        <v>9274.759999999998</v>
      </c>
      <c r="S156" s="351">
        <f t="shared" si="45"/>
        <v>2826.7400000000002</v>
      </c>
      <c r="T156" s="189">
        <f>G156/R156</f>
        <v>1.304777697751748</v>
      </c>
      <c r="U156" s="351">
        <f t="shared" si="45"/>
        <v>2184</v>
      </c>
      <c r="V156" s="351">
        <f t="shared" si="45"/>
        <v>711.6000000000005</v>
      </c>
      <c r="W156" s="351">
        <f t="shared" si="45"/>
        <v>-1472.3999999999996</v>
      </c>
      <c r="X156" s="189">
        <f>V156/U156</f>
        <v>0.32582417582417605</v>
      </c>
      <c r="Y156" s="189">
        <f t="shared" si="40"/>
        <v>0.2022496015060926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46" ref="E160:X160">E72</f>
        <v>8170</v>
      </c>
      <c r="F160" s="348">
        <f t="shared" si="46"/>
        <v>3968.65</v>
      </c>
      <c r="G160" s="348">
        <f t="shared" si="46"/>
        <v>3037.3</v>
      </c>
      <c r="H160" s="348">
        <f t="shared" si="46"/>
        <v>-931.3499999999999</v>
      </c>
      <c r="I160" s="347">
        <f t="shared" si="46"/>
        <v>0.7653232207425699</v>
      </c>
      <c r="J160" s="348">
        <f t="shared" si="46"/>
        <v>-5132.7</v>
      </c>
      <c r="K160" s="347">
        <f t="shared" si="46"/>
        <v>0.3717625458996328</v>
      </c>
      <c r="L160" s="348">
        <f t="shared" si="46"/>
        <v>0</v>
      </c>
      <c r="M160" s="348">
        <f t="shared" si="46"/>
        <v>0</v>
      </c>
      <c r="N160" s="348">
        <f t="shared" si="46"/>
        <v>0</v>
      </c>
      <c r="O160" s="348">
        <f t="shared" si="46"/>
        <v>8086.92</v>
      </c>
      <c r="P160" s="348">
        <f t="shared" si="46"/>
        <v>83.07999999999993</v>
      </c>
      <c r="Q160" s="347">
        <f t="shared" si="46"/>
        <v>1.0102733797292418</v>
      </c>
      <c r="R160" s="348">
        <f t="shared" si="46"/>
        <v>4834.79</v>
      </c>
      <c r="S160" s="348">
        <f t="shared" si="46"/>
        <v>-1797.4899999999998</v>
      </c>
      <c r="T160" s="347">
        <f t="shared" si="46"/>
        <v>0.6282175647753057</v>
      </c>
      <c r="U160" s="348">
        <f t="shared" si="46"/>
        <v>680</v>
      </c>
      <c r="V160" s="348">
        <f t="shared" si="46"/>
        <v>236.85000000000036</v>
      </c>
      <c r="W160" s="348">
        <f t="shared" si="46"/>
        <v>-443.14999999999964</v>
      </c>
      <c r="X160" s="347">
        <f t="shared" si="46"/>
        <v>0.3483088235294123</v>
      </c>
      <c r="Y160" s="189">
        <f t="shared" si="40"/>
        <v>-0.38205581495393615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47" ref="E161:X161">E76</f>
        <v>174.4</v>
      </c>
      <c r="F161" s="348">
        <f t="shared" si="47"/>
        <v>20</v>
      </c>
      <c r="G161" s="348">
        <f t="shared" si="47"/>
        <v>0</v>
      </c>
      <c r="H161" s="348">
        <f t="shared" si="47"/>
        <v>-20</v>
      </c>
      <c r="I161" s="347">
        <f t="shared" si="47"/>
        <v>0</v>
      </c>
      <c r="J161" s="348">
        <f t="shared" si="47"/>
        <v>-174.4</v>
      </c>
      <c r="K161" s="347">
        <f t="shared" si="47"/>
        <v>0</v>
      </c>
      <c r="L161" s="348">
        <f t="shared" si="47"/>
        <v>0</v>
      </c>
      <c r="M161" s="348">
        <f t="shared" si="47"/>
        <v>0</v>
      </c>
      <c r="N161" s="348">
        <f t="shared" si="47"/>
        <v>0</v>
      </c>
      <c r="O161" s="348">
        <f t="shared" si="47"/>
        <v>142.18</v>
      </c>
      <c r="P161" s="348">
        <f t="shared" si="47"/>
        <v>32.22</v>
      </c>
      <c r="Q161" s="347">
        <f t="shared" si="47"/>
        <v>1.2266141510761006</v>
      </c>
      <c r="R161" s="348">
        <f t="shared" si="47"/>
        <v>54.64</v>
      </c>
      <c r="S161" s="348">
        <f t="shared" si="47"/>
        <v>-54.64</v>
      </c>
      <c r="T161" s="347">
        <f t="shared" si="47"/>
        <v>0</v>
      </c>
      <c r="U161" s="348">
        <f t="shared" si="47"/>
        <v>0</v>
      </c>
      <c r="V161" s="348">
        <f t="shared" si="47"/>
        <v>0</v>
      </c>
      <c r="W161" s="348">
        <f t="shared" si="47"/>
        <v>0</v>
      </c>
      <c r="X161" s="347" t="e">
        <f t="shared" si="47"/>
        <v>#DIV/0!</v>
      </c>
      <c r="Y161" s="189">
        <f t="shared" si="40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48" ref="E162:W162">SUM(E160:E161)</f>
        <v>8344.4</v>
      </c>
      <c r="F162" s="351">
        <f t="shared" si="48"/>
        <v>3988.65</v>
      </c>
      <c r="G162" s="351">
        <f t="shared" si="48"/>
        <v>3037.3</v>
      </c>
      <c r="H162" s="351">
        <f t="shared" si="48"/>
        <v>-951.3499999999999</v>
      </c>
      <c r="I162" s="189">
        <f>G162/F162</f>
        <v>0.7614857157183509</v>
      </c>
      <c r="J162" s="351">
        <f t="shared" si="48"/>
        <v>-5307.099999999999</v>
      </c>
      <c r="K162" s="189">
        <f>G162/E162</f>
        <v>0.3639926178035569</v>
      </c>
      <c r="L162" s="351">
        <f t="shared" si="48"/>
        <v>0</v>
      </c>
      <c r="M162" s="351">
        <f t="shared" si="48"/>
        <v>0</v>
      </c>
      <c r="N162" s="351">
        <f t="shared" si="48"/>
        <v>0</v>
      </c>
      <c r="O162" s="351">
        <f t="shared" si="48"/>
        <v>8229.1</v>
      </c>
      <c r="P162" s="351">
        <f t="shared" si="48"/>
        <v>115.29999999999993</v>
      </c>
      <c r="Q162" s="189">
        <f>E162/O162</f>
        <v>1.0140112527493892</v>
      </c>
      <c r="R162" s="351">
        <f t="shared" si="48"/>
        <v>4889.43</v>
      </c>
      <c r="S162" s="351">
        <f t="shared" si="48"/>
        <v>-1852.1299999999999</v>
      </c>
      <c r="T162" s="189">
        <f>G162/R162</f>
        <v>0.6211971538604705</v>
      </c>
      <c r="U162" s="351">
        <f t="shared" si="48"/>
        <v>680</v>
      </c>
      <c r="V162" s="351">
        <f t="shared" si="48"/>
        <v>236.85000000000036</v>
      </c>
      <c r="W162" s="351">
        <f t="shared" si="48"/>
        <v>-443.14999999999964</v>
      </c>
      <c r="X162" s="189">
        <f>V162/U162</f>
        <v>0.3483088235294123</v>
      </c>
      <c r="Y162" s="189">
        <f t="shared" si="40"/>
        <v>-0.3928140988889187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89" sqref="B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4.50390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234</v>
      </c>
      <c r="V3" s="502" t="s">
        <v>235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231</v>
      </c>
      <c r="G4" s="487" t="s">
        <v>31</v>
      </c>
      <c r="H4" s="475" t="s">
        <v>232</v>
      </c>
      <c r="I4" s="489" t="s">
        <v>233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236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 aca="true" t="shared" si="0" ref="I8:I15">G8/F8</f>
        <v>1.0190526689234762</v>
      </c>
      <c r="J8" s="104">
        <f aca="true" t="shared" si="1" ref="J8:J52">G8-E8</f>
        <v>-953943.2</v>
      </c>
      <c r="K8" s="156">
        <f aca="true" t="shared" si="2" ref="K8:K14">G8/E8</f>
        <v>0.4049944397349161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505095.97</v>
      </c>
      <c r="S8" s="103">
        <f aca="true" t="shared" si="5" ref="S8:S79">G8-R8</f>
        <v>144211.72999999998</v>
      </c>
      <c r="T8" s="143">
        <f aca="true" t="shared" si="6" ref="T8:T41">G8/R8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 aca="true" t="shared" si="7" ref="X8:X15">V8/U8</f>
        <v>0.9276890683343292</v>
      </c>
      <c r="Y8" s="199">
        <f aca="true" t="shared" si="8" ref="Y8:Y22">T8-Q8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 t="shared" si="0"/>
        <v>1.0094220929870403</v>
      </c>
      <c r="J9" s="108">
        <f t="shared" si="1"/>
        <v>-595903.25</v>
      </c>
      <c r="K9" s="148">
        <f t="shared" si="2"/>
        <v>0.3898935324459894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281631.58</v>
      </c>
      <c r="S9" s="109">
        <f t="shared" si="5"/>
        <v>99185.26999999996</v>
      </c>
      <c r="T9" s="144">
        <f t="shared" si="6"/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 t="shared" si="7"/>
        <v>0.773491430677347</v>
      </c>
      <c r="Y9" s="200">
        <f t="shared" si="8"/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 aca="true" t="shared" si="9" ref="H10:H47">G10-F10</f>
        <v>823.8000000000466</v>
      </c>
      <c r="I10" s="209">
        <f t="shared" si="0"/>
        <v>1.002382392092286</v>
      </c>
      <c r="J10" s="72">
        <f t="shared" si="1"/>
        <v>-555709.3899999999</v>
      </c>
      <c r="K10" s="75">
        <f t="shared" si="2"/>
        <v>0.3841327595384388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257579.18</v>
      </c>
      <c r="S10" s="74">
        <f t="shared" si="5"/>
        <v>89031.53000000003</v>
      </c>
      <c r="T10" s="145">
        <f t="shared" si="6"/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 aca="true" t="shared" si="10" ref="W10:W52">V10-U10</f>
        <v>-22663.449999999953</v>
      </c>
      <c r="X10" s="75">
        <f t="shared" si="7"/>
        <v>0.7655663859718741</v>
      </c>
      <c r="Y10" s="198">
        <f t="shared" si="8"/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 t="shared" si="9"/>
        <v>98.29000000000087</v>
      </c>
      <c r="I11" s="209">
        <f t="shared" si="0"/>
        <v>1.0046712893214773</v>
      </c>
      <c r="J11" s="72">
        <f t="shared" si="1"/>
        <v>-28760.41</v>
      </c>
      <c r="K11" s="75">
        <f t="shared" si="2"/>
        <v>0.42363907815631263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5319.6900000000005</v>
      </c>
      <c r="T11" s="145">
        <f t="shared" si="6"/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 t="shared" si="10"/>
        <v>-1846.1499999999978</v>
      </c>
      <c r="X11" s="75">
        <f t="shared" si="7"/>
        <v>0.7162650232072053</v>
      </c>
      <c r="Y11" s="198">
        <f t="shared" si="8"/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 t="shared" si="9"/>
        <v>1379.1400000000003</v>
      </c>
      <c r="I12" s="209">
        <f t="shared" si="0"/>
        <v>1.233894861449594</v>
      </c>
      <c r="J12" s="72">
        <f t="shared" si="1"/>
        <v>-4724.45</v>
      </c>
      <c r="K12" s="75">
        <f t="shared" si="2"/>
        <v>0.6062958333333334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3533.29</v>
      </c>
      <c r="T12" s="145">
        <f t="shared" si="6"/>
        <v>1.9441594116923997</v>
      </c>
      <c r="U12" s="73">
        <f>F12-квітень!F12</f>
        <v>2752</v>
      </c>
      <c r="V12" s="98">
        <f>G12-квітень!G12</f>
        <v>3286.02</v>
      </c>
      <c r="W12" s="74">
        <f t="shared" si="10"/>
        <v>534.02</v>
      </c>
      <c r="X12" s="75">
        <f t="shared" si="7"/>
        <v>1.194047965116279</v>
      </c>
      <c r="Y12" s="198">
        <f t="shared" si="8"/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 t="shared" si="9"/>
        <v>1223.3999999999996</v>
      </c>
      <c r="I13" s="209">
        <f t="shared" si="0"/>
        <v>1.2871830985915491</v>
      </c>
      <c r="J13" s="72">
        <f t="shared" si="1"/>
        <v>-6516.6</v>
      </c>
      <c r="K13" s="75">
        <f t="shared" si="2"/>
        <v>0.45694999999999997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1600.8099999999995</v>
      </c>
      <c r="T13" s="145">
        <f t="shared" si="6"/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 t="shared" si="10"/>
        <v>-139.7400000000007</v>
      </c>
      <c r="X13" s="75">
        <f t="shared" si="7"/>
        <v>0.7837846201454423</v>
      </c>
      <c r="Y13" s="198">
        <f t="shared" si="8"/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F15-квітень!F15</f>
        <v>300</v>
      </c>
      <c r="V15" s="110">
        <f>G15-квітень!G15</f>
        <v>704.04</v>
      </c>
      <c r="W15" s="111">
        <f t="shared" si="10"/>
        <v>404.03999999999996</v>
      </c>
      <c r="X15" s="148">
        <f t="shared" si="7"/>
        <v>2.3468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 t="shared" si="9"/>
        <v>-7827.290000000001</v>
      </c>
      <c r="I19" s="208">
        <f t="shared" si="12"/>
        <v>0.8608803298793167</v>
      </c>
      <c r="J19" s="108">
        <f t="shared" si="1"/>
        <v>-103292.29000000001</v>
      </c>
      <c r="K19" s="108">
        <f t="shared" si="11"/>
        <v>31.922723557945798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3440.6200000000026</v>
      </c>
      <c r="T19" s="146">
        <f t="shared" si="6"/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 t="shared" si="10"/>
        <v>87.48999999999796</v>
      </c>
      <c r="X19" s="148">
        <f t="shared" si="13"/>
        <v>1.00776102191076</v>
      </c>
      <c r="Y19" s="197">
        <f t="shared" si="8"/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 t="shared" si="9"/>
        <v>-643.8899999999994</v>
      </c>
      <c r="I20" s="211">
        <f t="shared" si="12"/>
        <v>0.9706829668078132</v>
      </c>
      <c r="J20" s="171">
        <f t="shared" si="1"/>
        <v>-45388.89</v>
      </c>
      <c r="K20" s="171">
        <f t="shared" si="11"/>
        <v>31.958850512682137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-4809.380000000001</v>
      </c>
      <c r="T20" s="172">
        <f t="shared" si="6"/>
        <v>0.8159334886937591</v>
      </c>
      <c r="U20" s="136">
        <f>F20-квітень!F20</f>
        <v>4273</v>
      </c>
      <c r="V20" s="124">
        <f>G20-квітень!G20</f>
        <v>4535.34</v>
      </c>
      <c r="W20" s="116">
        <f t="shared" si="10"/>
        <v>262.34000000000015</v>
      </c>
      <c r="X20" s="180">
        <f t="shared" si="13"/>
        <v>1.0613948045869412</v>
      </c>
      <c r="Y20" s="197">
        <f t="shared" si="8"/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 t="shared" si="9"/>
        <v>-566.6099999999997</v>
      </c>
      <c r="I21" s="211">
        <f t="shared" si="12"/>
        <v>0.9128292307692308</v>
      </c>
      <c r="J21" s="171">
        <f t="shared" si="1"/>
        <v>-9762.61</v>
      </c>
      <c r="K21" s="171">
        <f t="shared" si="11"/>
        <v>37.801924057084605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1839.7000000000003</v>
      </c>
      <c r="T21" s="172">
        <f t="shared" si="6"/>
        <v>1.449398953022823</v>
      </c>
      <c r="U21" s="136">
        <f>F21-квітень!F21</f>
        <v>1300</v>
      </c>
      <c r="V21" s="124">
        <f>G21-квітень!G21</f>
        <v>1265.5</v>
      </c>
      <c r="W21" s="116">
        <f t="shared" si="10"/>
        <v>-34.5</v>
      </c>
      <c r="X21" s="180">
        <f t="shared" si="13"/>
        <v>0.9734615384615385</v>
      </c>
      <c r="Y21" s="197">
        <f t="shared" si="8"/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 t="shared" si="9"/>
        <v>-6616.790000000001</v>
      </c>
      <c r="I22" s="211">
        <f t="shared" si="12"/>
        <v>0.7619859712230216</v>
      </c>
      <c r="J22" s="171">
        <f t="shared" si="1"/>
        <v>-48140.79</v>
      </c>
      <c r="K22" s="171">
        <f t="shared" si="11"/>
        <v>30.556820148866194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6410.289999999999</v>
      </c>
      <c r="T22" s="172">
        <f t="shared" si="6"/>
        <v>1.4339216620681625</v>
      </c>
      <c r="U22" s="136">
        <f>F22-квітень!F22</f>
        <v>5700</v>
      </c>
      <c r="V22" s="124">
        <f>G22-квітень!G22</f>
        <v>5559.66</v>
      </c>
      <c r="W22" s="116">
        <f t="shared" si="10"/>
        <v>-140.34000000000015</v>
      </c>
      <c r="X22" s="180">
        <f t="shared" si="13"/>
        <v>0.975378947368421</v>
      </c>
      <c r="Y22" s="197">
        <f t="shared" si="8"/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 t="shared" si="9"/>
        <v>15681.979999999981</v>
      </c>
      <c r="I23" s="208">
        <f t="shared" si="12"/>
        <v>1.0771989571580192</v>
      </c>
      <c r="J23" s="108">
        <f t="shared" si="1"/>
        <v>-254848.01999999996</v>
      </c>
      <c r="K23" s="108">
        <f t="shared" si="11"/>
        <v>46.19681920132954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178305.79</v>
      </c>
      <c r="S23" s="111">
        <f t="shared" si="5"/>
        <v>40513.389999999985</v>
      </c>
      <c r="T23" s="147">
        <f t="shared" si="6"/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 t="shared" si="10"/>
        <v>11938.00999999998</v>
      </c>
      <c r="X23" s="148">
        <f t="shared" si="13"/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 t="shared" si="9"/>
        <v>13476.299999999988</v>
      </c>
      <c r="I24" s="208">
        <f t="shared" si="12"/>
        <v>1.1572441854725988</v>
      </c>
      <c r="J24" s="108">
        <f t="shared" si="1"/>
        <v>-117662.69</v>
      </c>
      <c r="K24" s="148">
        <f aca="true" t="shared" si="14" ref="K24:K41">G24/E24</f>
        <v>0.4573805351361821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17447.179999999993</v>
      </c>
      <c r="T24" s="147">
        <f t="shared" si="6"/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 t="shared" si="10"/>
        <v>11906.449999999997</v>
      </c>
      <c r="X24" s="148">
        <f t="shared" si="13"/>
        <v>1.748221579840382</v>
      </c>
      <c r="Y24" s="197">
        <f aca="true" t="shared" si="15" ref="Y24:Y100">T24-Q24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 t="shared" si="9"/>
        <v>1520.1299999999992</v>
      </c>
      <c r="I25" s="211">
        <f t="shared" si="12"/>
        <v>1.128135036034897</v>
      </c>
      <c r="J25" s="171">
        <f t="shared" si="1"/>
        <v>-15400.37</v>
      </c>
      <c r="K25" s="180">
        <f t="shared" si="14"/>
        <v>0.4649676903835464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3247.5899999999983</v>
      </c>
      <c r="T25" s="152">
        <f t="shared" si="6"/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 t="shared" si="10"/>
        <v>189.51999999999862</v>
      </c>
      <c r="X25" s="180">
        <f t="shared" si="13"/>
        <v>1.3022647527910665</v>
      </c>
      <c r="Y25" s="197">
        <f t="shared" si="15"/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 t="shared" si="9"/>
        <v>567.12</v>
      </c>
      <c r="I26" s="212">
        <f t="shared" si="12"/>
        <v>2.9381429206110523</v>
      </c>
      <c r="J26" s="176">
        <f t="shared" si="1"/>
        <v>-662.27</v>
      </c>
      <c r="K26" s="191">
        <f t="shared" si="14"/>
        <v>0.564868593955322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662.46</v>
      </c>
      <c r="T26" s="162">
        <f t="shared" si="6"/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 t="shared" si="10"/>
        <v>149.44000000000005</v>
      </c>
      <c r="X26" s="191">
        <f t="shared" si="13"/>
        <v>13.453333333333338</v>
      </c>
      <c r="Y26" s="197">
        <f t="shared" si="15"/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 t="shared" si="9"/>
        <v>953.010000000002</v>
      </c>
      <c r="I27" s="212">
        <f t="shared" si="12"/>
        <v>1.0823627223143597</v>
      </c>
      <c r="J27" s="176">
        <f t="shared" si="1"/>
        <v>-14738.099999999999</v>
      </c>
      <c r="K27" s="191">
        <f t="shared" si="14"/>
        <v>0.45939036020834867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2585.130000000003</v>
      </c>
      <c r="T27" s="162">
        <f t="shared" si="6"/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 t="shared" si="10"/>
        <v>40.080000000001746</v>
      </c>
      <c r="X27" s="191">
        <f t="shared" si="13"/>
        <v>1.06517073170732</v>
      </c>
      <c r="Y27" s="197">
        <f t="shared" si="15"/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 t="shared" si="9"/>
        <v>32.89999999999998</v>
      </c>
      <c r="I28" s="220">
        <f t="shared" si="12"/>
        <v>1.238751814223512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6.359999999999985</v>
      </c>
      <c r="T28" s="222">
        <f t="shared" si="6"/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 t="shared" si="10"/>
        <v>-2.1899999999999977</v>
      </c>
      <c r="X28" s="222">
        <f t="shared" si="13"/>
        <v>0.5620000000000005</v>
      </c>
      <c r="Y28" s="465">
        <f t="shared" si="15"/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 t="shared" si="9"/>
        <v>534.22</v>
      </c>
      <c r="I29" s="220">
        <f t="shared" si="12"/>
        <v>4.450810671145274</v>
      </c>
      <c r="J29" s="221">
        <f t="shared" si="1"/>
        <v>-516.97</v>
      </c>
      <c r="K29" s="222">
        <f t="shared" si="14"/>
        <v>0.571334991708126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656.1</v>
      </c>
      <c r="T29" s="222">
        <f t="shared" si="6"/>
        <v>20.924081384755542</v>
      </c>
      <c r="U29" s="206">
        <f>F29-квітень!F29</f>
        <v>7</v>
      </c>
      <c r="V29" s="206">
        <f>G29-квітень!G29</f>
        <v>158.63</v>
      </c>
      <c r="W29" s="221">
        <f t="shared" si="10"/>
        <v>151.63</v>
      </c>
      <c r="X29" s="222">
        <f t="shared" si="13"/>
        <v>22.66142857142857</v>
      </c>
      <c r="Y29" s="465">
        <f t="shared" si="15"/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 t="shared" si="9"/>
        <v>633.45</v>
      </c>
      <c r="I30" s="220">
        <f t="shared" si="12"/>
        <v>2.8356081022342</v>
      </c>
      <c r="J30" s="221">
        <f t="shared" si="1"/>
        <v>-1376.46</v>
      </c>
      <c r="K30" s="222">
        <f t="shared" si="14"/>
        <v>0.41551592356687894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888.16</v>
      </c>
      <c r="T30" s="222">
        <f t="shared" si="6"/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 t="shared" si="10"/>
        <v>360.81999999999994</v>
      </c>
      <c r="X30" s="222">
        <f t="shared" si="13"/>
        <v>25.054666666666662</v>
      </c>
      <c r="Y30" s="465">
        <f t="shared" si="15"/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 t="shared" si="9"/>
        <v>319.5600000000013</v>
      </c>
      <c r="I31" s="220">
        <f t="shared" si="12"/>
        <v>1.0284665680842346</v>
      </c>
      <c r="J31" s="221">
        <f t="shared" si="1"/>
        <v>-13361.64</v>
      </c>
      <c r="K31" s="222">
        <f t="shared" si="14"/>
        <v>0.4635387642028346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1696.9700000000012</v>
      </c>
      <c r="T31" s="222">
        <f t="shared" si="6"/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 t="shared" si="13"/>
        <v>0.4654333333333337</v>
      </c>
      <c r="Y31" s="465">
        <f t="shared" si="15"/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 t="shared" si="9"/>
        <v>350.68000000000006</v>
      </c>
      <c r="I32" s="211">
        <f t="shared" si="12"/>
        <v>3.015054875596162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570.19</v>
      </c>
      <c r="T32" s="150">
        <f t="shared" si="6"/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 t="shared" si="10"/>
        <v>61.48000000000002</v>
      </c>
      <c r="X32" s="180">
        <f t="shared" si="13"/>
        <v>31.74000000000001</v>
      </c>
      <c r="Y32" s="198">
        <f t="shared" si="15"/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371.97</v>
      </c>
      <c r="T33" s="75">
        <f t="shared" si="6"/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 t="shared" si="10"/>
        <v>57.22999999999999</v>
      </c>
      <c r="X33" s="75" t="e">
        <f t="shared" si="13"/>
        <v>#DIV/0!</v>
      </c>
      <c r="Y33" s="465">
        <f t="shared" si="15"/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 t="shared" si="9"/>
        <v>199.95999999999998</v>
      </c>
      <c r="I34" s="209">
        <f t="shared" si="12"/>
        <v>2.3679025858530576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198.22</v>
      </c>
      <c r="T34" s="75">
        <f t="shared" si="6"/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 t="shared" si="13"/>
        <v>3.125</v>
      </c>
      <c r="Y34" s="465">
        <f t="shared" si="15"/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 t="shared" si="9"/>
        <v>11605.48999999999</v>
      </c>
      <c r="I35" s="211">
        <f t="shared" si="12"/>
        <v>1.1575431260340663</v>
      </c>
      <c r="J35" s="171">
        <f t="shared" si="1"/>
        <v>-102505.03</v>
      </c>
      <c r="K35" s="180">
        <f t="shared" si="14"/>
        <v>0.4541100566632584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13629.399999999994</v>
      </c>
      <c r="T35" s="149">
        <f t="shared" si="6"/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 t="shared" si="10"/>
        <v>11655.449999999997</v>
      </c>
      <c r="X35" s="180">
        <f t="shared" si="13"/>
        <v>1.7625915990578378</v>
      </c>
      <c r="Y35" s="198">
        <f t="shared" si="15"/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34404.409999999996</v>
      </c>
      <c r="H36" s="158">
        <f t="shared" si="9"/>
        <v>10125.179999999993</v>
      </c>
      <c r="I36" s="212">
        <f t="shared" si="12"/>
        <v>1.4170305236203946</v>
      </c>
      <c r="J36" s="176">
        <f t="shared" si="1"/>
        <v>-26285.590000000004</v>
      </c>
      <c r="K36" s="191">
        <f t="shared" si="14"/>
        <v>0.5668876256384906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10253.169999999995</v>
      </c>
      <c r="T36" s="162">
        <f t="shared" si="6"/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 t="shared" si="10"/>
        <v>11424.499999999996</v>
      </c>
      <c r="X36" s="191">
        <f aca="true" t="shared" si="17" ref="X36:X41">V36/U36*100</f>
        <v>329.22351524879605</v>
      </c>
      <c r="Y36" s="197">
        <f t="shared" si="15"/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50866.56</v>
      </c>
      <c r="H37" s="158">
        <f t="shared" si="9"/>
        <v>1480.3099999999977</v>
      </c>
      <c r="I37" s="212">
        <f t="shared" si="12"/>
        <v>1.0299741324761447</v>
      </c>
      <c r="J37" s="176">
        <f t="shared" si="1"/>
        <v>-76219.44</v>
      </c>
      <c r="K37" s="191">
        <f t="shared" si="14"/>
        <v>0.4002530569850337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3376.3300000000017</v>
      </c>
      <c r="T37" s="162">
        <f t="shared" si="6"/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 t="shared" si="10"/>
        <v>230.9499999999971</v>
      </c>
      <c r="X37" s="191">
        <f>V37/U37</f>
        <v>1.0224223300970872</v>
      </c>
      <c r="Y37" s="197">
        <f t="shared" si="15"/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 t="shared" si="9"/>
        <v>10604.629999999997</v>
      </c>
      <c r="I38" s="220">
        <f t="shared" si="12"/>
        <v>1.4574036852366246</v>
      </c>
      <c r="J38" s="221">
        <f t="shared" si="1"/>
        <v>-23500.97</v>
      </c>
      <c r="K38" s="222">
        <f t="shared" si="14"/>
        <v>0.5897893175074184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10243.219999999998</v>
      </c>
      <c r="T38" s="222">
        <f t="shared" si="6"/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 t="shared" si="10"/>
        <v>11436.419999999998</v>
      </c>
      <c r="X38" s="222">
        <f t="shared" si="17"/>
        <v>343.32808510638296</v>
      </c>
      <c r="Y38" s="465">
        <f t="shared" si="15"/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 t="shared" si="9"/>
        <v>1281.9500000000044</v>
      </c>
      <c r="I39" s="220">
        <f t="shared" si="12"/>
        <v>1.0308209585884316</v>
      </c>
      <c r="J39" s="221">
        <f t="shared" si="1"/>
        <v>-63110.6</v>
      </c>
      <c r="K39" s="222">
        <f t="shared" si="14"/>
        <v>0.40453833525182575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3383.9400000000023</v>
      </c>
      <c r="T39" s="222">
        <f t="shared" si="6"/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 t="shared" si="10"/>
        <v>368.1200000000026</v>
      </c>
      <c r="X39" s="222">
        <f t="shared" si="17"/>
        <v>104.2804651162791</v>
      </c>
      <c r="Y39" s="465">
        <f t="shared" si="15"/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 t="shared" si="9"/>
        <v>-479.44999999999993</v>
      </c>
      <c r="I40" s="220">
        <f t="shared" si="12"/>
        <v>0.562078130851365</v>
      </c>
      <c r="J40" s="221">
        <f t="shared" si="1"/>
        <v>-2784.62</v>
      </c>
      <c r="K40" s="222">
        <f t="shared" si="14"/>
        <v>0.18099411764705883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9.950000000000045</v>
      </c>
      <c r="T40" s="222">
        <f t="shared" si="6"/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 t="shared" si="10"/>
        <v>-11.919999999999902</v>
      </c>
      <c r="X40" s="222">
        <f t="shared" si="17"/>
        <v>95.80281690140848</v>
      </c>
      <c r="Y40" s="465">
        <f t="shared" si="15"/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 t="shared" si="9"/>
        <v>198.35999999999967</v>
      </c>
      <c r="I41" s="220">
        <f t="shared" si="12"/>
        <v>1.0254542654758239</v>
      </c>
      <c r="J41" s="221">
        <f t="shared" si="1"/>
        <v>-13108.84</v>
      </c>
      <c r="K41" s="222">
        <f t="shared" si="14"/>
        <v>0.37872796208530807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-7.610000000000582</v>
      </c>
      <c r="T41" s="222">
        <f t="shared" si="6"/>
        <v>0.9990486037228223</v>
      </c>
      <c r="U41" s="206">
        <f>F41-квітень!F41</f>
        <v>1700</v>
      </c>
      <c r="V41" s="206">
        <f>G41-квітень!G41</f>
        <v>1562.83</v>
      </c>
      <c r="W41" s="221">
        <f t="shared" si="10"/>
        <v>-137.17000000000007</v>
      </c>
      <c r="X41" s="222">
        <f t="shared" si="17"/>
        <v>91.93117647058823</v>
      </c>
      <c r="Y41" s="465">
        <f t="shared" si="15"/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 t="shared" si="9"/>
        <v>4.219999999999999</v>
      </c>
      <c r="I43" s="208">
        <f>G43/F43</f>
        <v>1.0545008394679065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6.420000000000002</v>
      </c>
      <c r="T43" s="148">
        <f aca="true" t="shared" si="18" ref="T43:T51">G43/R43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 t="shared" si="10"/>
        <v>-13.309999999999995</v>
      </c>
      <c r="X43" s="148">
        <f>V43/U43</f>
        <v>0.5070370370370374</v>
      </c>
      <c r="Y43" s="466">
        <f t="shared" si="15"/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 t="shared" si="9"/>
        <v>15.840000000000003</v>
      </c>
      <c r="I44" s="209">
        <f>G44/F44</f>
        <v>1.3306889352818372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19.480000000000004</v>
      </c>
      <c r="T44" s="75">
        <f t="shared" si="18"/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 t="shared" si="10"/>
        <v>-9.309999999999995</v>
      </c>
      <c r="X44" s="75">
        <f>V44/U44</f>
        <v>0.45235294117647085</v>
      </c>
      <c r="Y44" s="465">
        <f t="shared" si="15"/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F45-квітень!F45</f>
        <v>10</v>
      </c>
      <c r="V45" s="98">
        <f>G45-квітень!G45</f>
        <v>6</v>
      </c>
      <c r="W45" s="74">
        <f t="shared" si="10"/>
        <v>-4</v>
      </c>
      <c r="X45" s="75">
        <f>V45/U45</f>
        <v>0.6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5.759999999999998</v>
      </c>
      <c r="T46" s="148">
        <f t="shared" si="18"/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 t="shared" si="10"/>
        <v>-19.830000000000002</v>
      </c>
      <c r="X46" s="148"/>
      <c r="Y46" s="197">
        <f t="shared" si="15"/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 t="shared" si="9"/>
        <v>2222.4800000000105</v>
      </c>
      <c r="I47" s="208">
        <f>G47/F47</f>
        <v>1.0189378098032018</v>
      </c>
      <c r="J47" s="108">
        <f t="shared" si="1"/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96524.99</v>
      </c>
      <c r="S47" s="123">
        <f t="shared" si="5"/>
        <v>23054.25</v>
      </c>
      <c r="T47" s="160">
        <f t="shared" si="18"/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 t="shared" si="10"/>
        <v>64.70000000001164</v>
      </c>
      <c r="X47" s="148">
        <f>V47/U47</f>
        <v>1.0022943262411352</v>
      </c>
      <c r="Y47" s="197">
        <f t="shared" si="15"/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 t="shared" si="1"/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3861.510000000002</v>
      </c>
      <c r="T49" s="153">
        <f t="shared" si="18"/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 t="shared" si="10"/>
        <v>-1299.9599999999991</v>
      </c>
      <c r="X49" s="75">
        <f>V49/U49</f>
        <v>0.800006153846154</v>
      </c>
      <c r="Y49" s="197">
        <f t="shared" si="15"/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 t="shared" si="1"/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77240.19</v>
      </c>
      <c r="S50" s="85">
        <f t="shared" si="5"/>
        <v>19183.440000000002</v>
      </c>
      <c r="T50" s="153">
        <f t="shared" si="18"/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 t="shared" si="10"/>
        <v>1364.6600000000035</v>
      </c>
      <c r="X50" s="75">
        <f>V50/U50</f>
        <v>1.0628875576036867</v>
      </c>
      <c r="Y50" s="197">
        <f t="shared" si="15"/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 aca="true" t="shared" si="19" ref="H53:H79">G53-F53</f>
        <v>675.5799999999945</v>
      </c>
      <c r="I53" s="143">
        <f aca="true" t="shared" si="20" ref="I53:I72">G53/F53</f>
        <v>1.0288810608845833</v>
      </c>
      <c r="J53" s="104">
        <f>G53-E53</f>
        <v>-26181.520000000004</v>
      </c>
      <c r="K53" s="156">
        <f aca="true" t="shared" si="21" ref="K53:K72">G53/E53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 t="shared" si="5"/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 aca="true" t="shared" si="22" ref="W53:W79">V53-U53</f>
        <v>-1069.659999999999</v>
      </c>
      <c r="X53" s="143">
        <f>V53/U53</f>
        <v>0.8811653936953202</v>
      </c>
      <c r="Y53" s="197">
        <f t="shared" si="15"/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 t="shared" si="22"/>
        <v>24.65000000000009</v>
      </c>
      <c r="X54" s="155">
        <f>V54/U54</f>
        <v>1.0093233833480213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 t="shared" si="19"/>
        <v>66.28999999999996</v>
      </c>
      <c r="I55" s="213">
        <f t="shared" si="20"/>
        <v>1.0200873918208044</v>
      </c>
      <c r="J55" s="115">
        <f aca="true" t="shared" si="23" ref="J55:J79">G55-E55</f>
        <v>-3633.63</v>
      </c>
      <c r="K55" s="155">
        <f t="shared" si="21"/>
        <v>0.48091</v>
      </c>
      <c r="L55" s="115"/>
      <c r="M55" s="115"/>
      <c r="N55" s="115"/>
      <c r="O55" s="115">
        <v>27997.6</v>
      </c>
      <c r="P55" s="115">
        <f aca="true" t="shared" si="24" ref="P55:P72">E55-O55</f>
        <v>-20997.6</v>
      </c>
      <c r="Q55" s="155">
        <f aca="true" t="shared" si="25" ref="Q55:Q72">E55/O55</f>
        <v>0.2500214304083207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 t="shared" si="22"/>
        <v>-1170.8000000000002</v>
      </c>
      <c r="X55" s="155">
        <f aca="true" t="shared" si="27" ref="X55:X78">V55/U55</f>
        <v>0.49095652173913035</v>
      </c>
      <c r="Y55" s="197">
        <f t="shared" si="15"/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 t="shared" si="19"/>
        <v>276.34999999999997</v>
      </c>
      <c r="I58" s="213">
        <f t="shared" si="20"/>
        <v>2.0295048988563127</v>
      </c>
      <c r="J58" s="115">
        <f t="shared" si="23"/>
        <v>-199.22000000000003</v>
      </c>
      <c r="K58" s="155">
        <f t="shared" si="21"/>
        <v>0.7322311827956989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102.51999999999998</v>
      </c>
      <c r="T58" s="155">
        <f t="shared" si="26"/>
        <v>1.231809342920454</v>
      </c>
      <c r="U58" s="107">
        <f>F58-квітень!F58</f>
        <v>60</v>
      </c>
      <c r="V58" s="110">
        <f>G58-квітень!G58</f>
        <v>299</v>
      </c>
      <c r="W58" s="111">
        <f t="shared" si="22"/>
        <v>239</v>
      </c>
      <c r="X58" s="155">
        <f t="shared" si="27"/>
        <v>4.983333333333333</v>
      </c>
      <c r="Y58" s="197">
        <f t="shared" si="15"/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 t="shared" si="19"/>
        <v>8.18</v>
      </c>
      <c r="I59" s="213">
        <f t="shared" si="20"/>
        <v>1.2045</v>
      </c>
      <c r="J59" s="115">
        <f t="shared" si="23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47.17</v>
      </c>
      <c r="T59" s="155">
        <f t="shared" si="26"/>
        <v>47.7029702970297</v>
      </c>
      <c r="U59" s="107">
        <f>F59-квітень!F59</f>
        <v>10</v>
      </c>
      <c r="V59" s="110">
        <f>G59-квітень!G59</f>
        <v>8.96</v>
      </c>
      <c r="W59" s="111">
        <f t="shared" si="22"/>
        <v>-1.0399999999999991</v>
      </c>
      <c r="X59" s="155">
        <f t="shared" si="27"/>
        <v>0.8960000000000001</v>
      </c>
      <c r="Y59" s="197">
        <f t="shared" si="15"/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 t="shared" si="19"/>
        <v>-24.24000000000001</v>
      </c>
      <c r="I60" s="213">
        <f t="shared" si="20"/>
        <v>0.9513253012048193</v>
      </c>
      <c r="J60" s="115">
        <f t="shared" si="23"/>
        <v>-810.24</v>
      </c>
      <c r="K60" s="155">
        <f t="shared" si="21"/>
        <v>0.3689719626168224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-31.370000000000005</v>
      </c>
      <c r="T60" s="155">
        <f t="shared" si="26"/>
        <v>0.9378971749846574</v>
      </c>
      <c r="U60" s="107">
        <f>F60-квітень!F60</f>
        <v>114</v>
      </c>
      <c r="V60" s="110">
        <f>G60-квітень!G60</f>
        <v>97.37</v>
      </c>
      <c r="W60" s="111">
        <f t="shared" si="22"/>
        <v>-16.629999999999995</v>
      </c>
      <c r="X60" s="155">
        <f t="shared" si="27"/>
        <v>0.854122807017544</v>
      </c>
      <c r="Y60" s="197">
        <f t="shared" si="15"/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 t="shared" si="19"/>
        <v>464.8799999999992</v>
      </c>
      <c r="I62" s="213">
        <f t="shared" si="20"/>
        <v>1.046073339940535</v>
      </c>
      <c r="J62" s="115">
        <f t="shared" si="23"/>
        <v>-11705.12</v>
      </c>
      <c r="K62" s="155">
        <f t="shared" si="21"/>
        <v>0.47416352201257855</v>
      </c>
      <c r="L62" s="115"/>
      <c r="M62" s="115"/>
      <c r="N62" s="115"/>
      <c r="O62" s="115">
        <v>20110.14</v>
      </c>
      <c r="P62" s="115">
        <f t="shared" si="24"/>
        <v>2149.8600000000006</v>
      </c>
      <c r="Q62" s="155">
        <f t="shared" si="25"/>
        <v>1.1069042781402816</v>
      </c>
      <c r="R62" s="115">
        <v>6250.27</v>
      </c>
      <c r="S62" s="115">
        <f t="shared" si="5"/>
        <v>4304.609999999999</v>
      </c>
      <c r="T62" s="155">
        <f t="shared" si="26"/>
        <v>1.6887078478209738</v>
      </c>
      <c r="U62" s="107">
        <f>F62-квітень!F62</f>
        <v>2600</v>
      </c>
      <c r="V62" s="110">
        <f>G62-квітень!G62</f>
        <v>2262.42</v>
      </c>
      <c r="W62" s="111">
        <f t="shared" si="22"/>
        <v>-337.5799999999999</v>
      </c>
      <c r="X62" s="155">
        <f t="shared" si="27"/>
        <v>0.8701615384615385</v>
      </c>
      <c r="Y62" s="197">
        <f t="shared" si="15"/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 t="shared" si="19"/>
        <v>33.44</v>
      </c>
      <c r="I63" s="213">
        <f t="shared" si="20"/>
        <v>1.1068370607028755</v>
      </c>
      <c r="J63" s="115">
        <f t="shared" si="23"/>
        <v>-420.56</v>
      </c>
      <c r="K63" s="155">
        <f t="shared" si="21"/>
        <v>0.4516818774445893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130.09</v>
      </c>
      <c r="T63" s="155">
        <f t="shared" si="26"/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 t="shared" si="22"/>
        <v>9.589999999999975</v>
      </c>
      <c r="X63" s="155">
        <f t="shared" si="27"/>
        <v>1.1498437499999996</v>
      </c>
      <c r="Y63" s="197">
        <f t="shared" si="15"/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 t="shared" si="19"/>
        <v>-1.1799999999999997</v>
      </c>
      <c r="I64" s="213">
        <f t="shared" si="20"/>
        <v>0.92625</v>
      </c>
      <c r="J64" s="115">
        <f t="shared" si="23"/>
        <v>-29.18</v>
      </c>
      <c r="K64" s="155">
        <f t="shared" si="21"/>
        <v>0.33681818181818185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2.5</v>
      </c>
      <c r="T64" s="155">
        <f t="shared" si="26"/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 t="shared" si="22"/>
        <v>-2.24</v>
      </c>
      <c r="X64" s="155">
        <f t="shared" si="27"/>
        <v>0.43999999999999995</v>
      </c>
      <c r="Y64" s="197">
        <f t="shared" si="15"/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 t="shared" si="19"/>
        <v>-47.20999999999998</v>
      </c>
      <c r="I66" s="213">
        <f t="shared" si="20"/>
        <v>0.8628174580112745</v>
      </c>
      <c r="J66" s="115">
        <f t="shared" si="23"/>
        <v>-569.0699999999999</v>
      </c>
      <c r="K66" s="155">
        <f t="shared" si="21"/>
        <v>0.3428752886836028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-36.589999999999975</v>
      </c>
      <c r="T66" s="155">
        <f t="shared" si="26"/>
        <v>0.8902914367953947</v>
      </c>
      <c r="U66" s="107">
        <f>F66-квітень!F66</f>
        <v>74.5</v>
      </c>
      <c r="V66" s="110">
        <f>G66-квітень!G66</f>
        <v>64.68</v>
      </c>
      <c r="W66" s="111">
        <f t="shared" si="22"/>
        <v>-9.819999999999993</v>
      </c>
      <c r="X66" s="155">
        <f t="shared" si="27"/>
        <v>0.8681879194630874</v>
      </c>
      <c r="Y66" s="197">
        <f t="shared" si="15"/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 t="shared" si="19"/>
        <v>-50.43000000000001</v>
      </c>
      <c r="I67" s="209">
        <f t="shared" si="20"/>
        <v>0.8239298931638852</v>
      </c>
      <c r="J67" s="72">
        <f t="shared" si="23"/>
        <v>-492.21000000000004</v>
      </c>
      <c r="K67" s="75">
        <f t="shared" si="21"/>
        <v>0.32407305685251303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-54.389999999999986</v>
      </c>
      <c r="T67" s="204">
        <f t="shared" si="26"/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 t="shared" si="22"/>
        <v>-11.52000000000001</v>
      </c>
      <c r="X67" s="75">
        <f t="shared" si="27"/>
        <v>0.8171428571428571</v>
      </c>
      <c r="Y67" s="197">
        <f t="shared" si="15"/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 t="shared" si="19"/>
        <v>3.4299999999999997</v>
      </c>
      <c r="I70" s="209">
        <f t="shared" si="20"/>
        <v>1.0597352838732148</v>
      </c>
      <c r="J70" s="72">
        <f t="shared" si="23"/>
        <v>-75.95000000000002</v>
      </c>
      <c r="K70" s="75">
        <f t="shared" si="21"/>
        <v>0.4448099415204678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17.85</v>
      </c>
      <c r="T70" s="204">
        <f t="shared" si="26"/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 t="shared" si="22"/>
        <v>1.7600000000000051</v>
      </c>
      <c r="X70" s="75">
        <f t="shared" si="27"/>
        <v>1.1543859649122812</v>
      </c>
      <c r="Y70" s="197">
        <f t="shared" si="15"/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 t="shared" si="19"/>
        <v>-488.2000000000003</v>
      </c>
      <c r="I72" s="213">
        <f t="shared" si="20"/>
        <v>0.851550028127043</v>
      </c>
      <c r="J72" s="115">
        <f t="shared" si="23"/>
        <v>-5369.55</v>
      </c>
      <c r="K72" s="155">
        <f t="shared" si="21"/>
        <v>0.3427723378212974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-1236.69</v>
      </c>
      <c r="T72" s="155">
        <f t="shared" si="26"/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 t="shared" si="22"/>
        <v>86.41999999999985</v>
      </c>
      <c r="X72" s="155">
        <f t="shared" si="27"/>
        <v>1.1270882352941174</v>
      </c>
      <c r="Y72" s="197">
        <f t="shared" si="15"/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 t="shared" si="19"/>
        <v>-9.75</v>
      </c>
      <c r="I78" s="213">
        <f>G78/F78</f>
        <v>0.36564736499674694</v>
      </c>
      <c r="J78" s="115">
        <f t="shared" si="23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-16.73</v>
      </c>
      <c r="T78" s="155">
        <f t="shared" si="26"/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 t="shared" si="22"/>
        <v>-2.0199999999999987</v>
      </c>
      <c r="X78" s="155">
        <f t="shared" si="27"/>
        <v>0.3034482758620691</v>
      </c>
      <c r="Y78" s="197">
        <f t="shared" si="15"/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3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6"/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 t="shared" si="22"/>
        <v>0.17000000000000004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 t="shared" si="15"/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 t="shared" si="30"/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1596.87</v>
      </c>
      <c r="T89" s="147">
        <f t="shared" si="29"/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 t="shared" si="33"/>
        <v>-167.4609999999999</v>
      </c>
      <c r="X89" s="147">
        <f>V89/U89</f>
        <v>0.13501996373985722</v>
      </c>
      <c r="Y89" s="197">
        <f t="shared" si="15"/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 t="shared" si="30"/>
        <v>-2388.8</v>
      </c>
      <c r="I90" s="213">
        <f>G90/F90</f>
        <v>0.40503113325031137</v>
      </c>
      <c r="J90" s="117">
        <f aca="true" t="shared" si="34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1321.3000000000002</v>
      </c>
      <c r="T90" s="147">
        <f t="shared" si="29"/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 t="shared" si="33"/>
        <v>-835.1599999999999</v>
      </c>
      <c r="X90" s="147">
        <f>V90/U90</f>
        <v>0.16484000000000015</v>
      </c>
      <c r="Y90" s="197">
        <f t="shared" si="15"/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 t="shared" si="30"/>
        <v>-8187.47</v>
      </c>
      <c r="I91" s="213">
        <f>G91/F91</f>
        <v>0.181253</v>
      </c>
      <c r="J91" s="117">
        <f t="shared" si="34"/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-2772.8900000000003</v>
      </c>
      <c r="T91" s="147">
        <f t="shared" si="29"/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 t="shared" si="33"/>
        <v>-1935.84</v>
      </c>
      <c r="X91" s="147">
        <f>V91/U91</f>
        <v>0.03208000000000004</v>
      </c>
      <c r="Y91" s="197">
        <f t="shared" si="15"/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 t="shared" si="30"/>
        <v>-9984.3</v>
      </c>
      <c r="I93" s="216">
        <f>G93/F93</f>
        <v>0.33548884760962205</v>
      </c>
      <c r="J93" s="131">
        <f t="shared" si="34"/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144.28999999999996</v>
      </c>
      <c r="T93" s="147">
        <f t="shared" si="29"/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 t="shared" si="33"/>
        <v>-2939.4609999999993</v>
      </c>
      <c r="X93" s="151">
        <f>V93/U93</f>
        <v>0.08015393661473992</v>
      </c>
      <c r="Y93" s="197">
        <f t="shared" si="15"/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 t="shared" si="30"/>
        <v>-613.2299999999996</v>
      </c>
      <c r="I96" s="213">
        <f>G96/F96</f>
        <v>0.8960970526690332</v>
      </c>
      <c r="J96" s="117">
        <f t="shared" si="34"/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185.5</v>
      </c>
      <c r="T96" s="147">
        <f t="shared" si="29"/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 t="shared" si="33"/>
        <v>-383.47999999999956</v>
      </c>
      <c r="X96" s="147">
        <f>V96/U96</f>
        <v>0.8750268861007008</v>
      </c>
      <c r="Y96" s="197">
        <f t="shared" si="15"/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 t="shared" si="30"/>
        <v>-626.7999999999993</v>
      </c>
      <c r="I98" s="216">
        <f>G98/F98</f>
        <v>0.8940670446767339</v>
      </c>
      <c r="J98" s="131">
        <f t="shared" si="34"/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152.78000000000065</v>
      </c>
      <c r="T98" s="147">
        <f t="shared" si="29"/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 t="shared" si="33"/>
        <v>-387.34999999999945</v>
      </c>
      <c r="X98" s="151">
        <f>V98/U98</f>
        <v>0.8739300244100897</v>
      </c>
      <c r="Y98" s="197">
        <f t="shared" si="15"/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 t="shared" si="30"/>
        <v>2.9400000000000013</v>
      </c>
      <c r="I99" s="213">
        <f>G99/F99</f>
        <v>1.1866666666666668</v>
      </c>
      <c r="J99" s="117">
        <f t="shared" si="34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10.950000000000001</v>
      </c>
      <c r="T99" s="147">
        <f t="shared" si="29"/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 t="shared" si="33"/>
        <v>0.9500000000000011</v>
      </c>
      <c r="X99" s="147">
        <f>V99/U99</f>
        <v>1.539772727272728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 t="shared" si="29"/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 t="shared" si="29"/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469"/>
      <c r="H107" s="469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143460/1000</f>
        <v>143.46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835.0200000000001</v>
      </c>
      <c r="H113" s="278">
        <f t="shared" si="35"/>
        <v>8.019999999999989</v>
      </c>
      <c r="I113" s="436">
        <f>G113/F113</f>
        <v>1.0096977025392988</v>
      </c>
      <c r="J113" s="278">
        <f t="shared" si="35"/>
        <v>-1259.98</v>
      </c>
      <c r="K113" s="436">
        <f>G113/E113</f>
        <v>0.3985775656324583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101.22</v>
      </c>
      <c r="T113" s="436">
        <f>G113/R113</f>
        <v>1.1379394930498774</v>
      </c>
      <c r="U113" s="278">
        <f t="shared" si="35"/>
        <v>182</v>
      </c>
      <c r="V113" s="288">
        <f t="shared" si="35"/>
        <v>172.71999999999997</v>
      </c>
      <c r="W113" s="278">
        <f t="shared" si="35"/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12511.269999999999</v>
      </c>
      <c r="H125" s="295">
        <f t="shared" si="37"/>
        <v>-28700.78</v>
      </c>
      <c r="I125" s="447">
        <f t="shared" si="36"/>
        <v>0.303582811337946</v>
      </c>
      <c r="J125" s="295">
        <f t="shared" si="37"/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1727583.312</v>
      </c>
      <c r="F126" s="295">
        <f t="shared" si="38"/>
        <v>701787.1699999999</v>
      </c>
      <c r="G126" s="295">
        <f t="shared" si="38"/>
        <v>685892.64</v>
      </c>
      <c r="H126" s="295">
        <f t="shared" si="38"/>
        <v>-15894.529999999973</v>
      </c>
      <c r="I126" s="447">
        <f t="shared" si="36"/>
        <v>0.977351352832512</v>
      </c>
      <c r="J126" s="295">
        <f t="shared" si="38"/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3227258.512</v>
      </c>
      <c r="F131" s="314">
        <f t="shared" si="39"/>
        <v>1023873.8999999999</v>
      </c>
      <c r="G131" s="314">
        <f t="shared" si="39"/>
        <v>685892.64</v>
      </c>
      <c r="H131" s="314">
        <f t="shared" si="39"/>
        <v>-337981.25999999995</v>
      </c>
      <c r="I131" s="449">
        <f t="shared" si="36"/>
        <v>0.6698995257130786</v>
      </c>
      <c r="J131" s="314">
        <f t="shared" si="39"/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544.78</v>
      </c>
      <c r="H143" s="323">
        <f t="shared" si="45"/>
        <v>276.34999999999997</v>
      </c>
      <c r="I143" s="357">
        <f t="shared" si="45"/>
        <v>2.0295048988563127</v>
      </c>
      <c r="J143" s="323">
        <f t="shared" si="45"/>
        <v>-199.22000000000003</v>
      </c>
      <c r="K143" s="357">
        <f t="shared" si="45"/>
        <v>0.7322311827956989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102.51999999999998</v>
      </c>
      <c r="T143" s="357">
        <f t="shared" si="45"/>
        <v>1.231809342920454</v>
      </c>
      <c r="U143" s="323">
        <f t="shared" si="45"/>
        <v>60</v>
      </c>
      <c r="V143" s="323">
        <f t="shared" si="45"/>
        <v>299</v>
      </c>
      <c r="W143" s="323">
        <f t="shared" si="45"/>
        <v>239</v>
      </c>
      <c r="X143" s="357">
        <f t="shared" si="45"/>
        <v>4.983333333333333</v>
      </c>
      <c r="Y143" s="446">
        <f t="shared" si="42"/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48.18</v>
      </c>
      <c r="H144" s="323">
        <f t="shared" si="46"/>
        <v>8.18</v>
      </c>
      <c r="I144" s="357">
        <f t="shared" si="46"/>
        <v>1.2045</v>
      </c>
      <c r="J144" s="323">
        <f t="shared" si="46"/>
        <v>-67.32</v>
      </c>
      <c r="K144" s="357">
        <f t="shared" si="46"/>
        <v>0.41714285714285715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47.17</v>
      </c>
      <c r="T144" s="357">
        <f t="shared" si="46"/>
        <v>47.7029702970297</v>
      </c>
      <c r="U144" s="323">
        <f t="shared" si="46"/>
        <v>10</v>
      </c>
      <c r="V144" s="323">
        <f t="shared" si="46"/>
        <v>8.96</v>
      </c>
      <c r="W144" s="323">
        <f t="shared" si="46"/>
        <v>-1.0399999999999991</v>
      </c>
      <c r="X144" s="357">
        <f t="shared" si="46"/>
        <v>0.8960000000000001</v>
      </c>
      <c r="Y144" s="446">
        <f t="shared" si="42"/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5.62</v>
      </c>
      <c r="H146" s="345">
        <f t="shared" si="48"/>
        <v>-9.75</v>
      </c>
      <c r="I146" s="444">
        <f t="shared" si="48"/>
        <v>0.36564736499674694</v>
      </c>
      <c r="J146" s="345">
        <f t="shared" si="48"/>
        <v>-29.38</v>
      </c>
      <c r="K146" s="444">
        <f t="shared" si="48"/>
        <v>0.1605714285714286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-16.73</v>
      </c>
      <c r="T146" s="444">
        <f t="shared" si="48"/>
        <v>0.25145413870246086</v>
      </c>
      <c r="U146" s="345">
        <f t="shared" si="48"/>
        <v>2.8999999999999986</v>
      </c>
      <c r="V146" s="345">
        <f t="shared" si="48"/>
        <v>0.8799999999999999</v>
      </c>
      <c r="W146" s="345">
        <f t="shared" si="48"/>
        <v>-2.0199999999999987</v>
      </c>
      <c r="X146" s="444">
        <f t="shared" si="48"/>
        <v>0.3034482758620691</v>
      </c>
      <c r="Y146" s="446">
        <f t="shared" si="42"/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0.67</v>
      </c>
      <c r="H147" s="345">
        <f t="shared" si="48"/>
        <v>0.67</v>
      </c>
      <c r="I147" s="444" t="e">
        <f t="shared" si="48"/>
        <v>#DIV/0!</v>
      </c>
      <c r="J147" s="345">
        <f t="shared" si="48"/>
        <v>0.67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5.92</v>
      </c>
      <c r="T147" s="444">
        <f t="shared" si="48"/>
        <v>-0.12761904761904763</v>
      </c>
      <c r="U147" s="345">
        <f t="shared" si="48"/>
        <v>0</v>
      </c>
      <c r="V147" s="345">
        <f t="shared" si="48"/>
        <v>0.17000000000000004</v>
      </c>
      <c r="W147" s="345">
        <f t="shared" si="48"/>
        <v>0.17000000000000004</v>
      </c>
      <c r="X147" s="444">
        <f t="shared" si="48"/>
        <v>0</v>
      </c>
      <c r="Y147" s="446">
        <f t="shared" si="42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 t="shared" si="42"/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473.76</v>
      </c>
      <c r="H151" s="323">
        <f t="shared" si="49"/>
        <v>-24.24000000000001</v>
      </c>
      <c r="I151" s="357">
        <f t="shared" si="49"/>
        <v>0.9513253012048193</v>
      </c>
      <c r="J151" s="323">
        <f t="shared" si="49"/>
        <v>-810.24</v>
      </c>
      <c r="K151" s="357">
        <f t="shared" si="49"/>
        <v>0.3689719626168224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-31.370000000000005</v>
      </c>
      <c r="T151" s="357">
        <f t="shared" si="49"/>
        <v>0.9378971749846574</v>
      </c>
      <c r="U151" s="323">
        <f t="shared" si="49"/>
        <v>114</v>
      </c>
      <c r="V151" s="323">
        <f t="shared" si="49"/>
        <v>97.37</v>
      </c>
      <c r="W151" s="323">
        <f t="shared" si="49"/>
        <v>-16.629999999999995</v>
      </c>
      <c r="X151" s="357">
        <f t="shared" si="49"/>
        <v>0.854122807017544</v>
      </c>
      <c r="Y151" s="446">
        <f t="shared" si="42"/>
        <v>-0.12753920585076406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22260</v>
      </c>
      <c r="F153" s="360">
        <f t="shared" si="51"/>
        <v>10090</v>
      </c>
      <c r="G153" s="360">
        <f t="shared" si="51"/>
        <v>10554.88</v>
      </c>
      <c r="H153" s="360">
        <f t="shared" si="51"/>
        <v>464.8799999999992</v>
      </c>
      <c r="I153" s="362">
        <f t="shared" si="51"/>
        <v>1.046073339940535</v>
      </c>
      <c r="J153" s="360">
        <f t="shared" si="51"/>
        <v>-11705.12</v>
      </c>
      <c r="K153" s="362">
        <f t="shared" si="51"/>
        <v>0.47416352201257855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2149.8600000000006</v>
      </c>
      <c r="Q153" s="362">
        <f t="shared" si="51"/>
        <v>1.1069042781402816</v>
      </c>
      <c r="R153" s="360">
        <f t="shared" si="51"/>
        <v>6250.27</v>
      </c>
      <c r="S153" s="360">
        <f t="shared" si="51"/>
        <v>4304.609999999999</v>
      </c>
      <c r="T153" s="362">
        <f t="shared" si="51"/>
        <v>1.6887078478209738</v>
      </c>
      <c r="U153" s="360">
        <f t="shared" si="51"/>
        <v>2600</v>
      </c>
      <c r="V153" s="360">
        <f t="shared" si="51"/>
        <v>2262.42</v>
      </c>
      <c r="W153" s="360">
        <f t="shared" si="51"/>
        <v>-337.5799999999999</v>
      </c>
      <c r="X153" s="362">
        <f t="shared" si="51"/>
        <v>0.8701615384615385</v>
      </c>
      <c r="Y153" s="446">
        <f t="shared" si="42"/>
        <v>0.5818035696806922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346.44</v>
      </c>
      <c r="H154" s="360">
        <f t="shared" si="52"/>
        <v>33.44</v>
      </c>
      <c r="I154" s="362">
        <f t="shared" si="52"/>
        <v>1.1068370607028755</v>
      </c>
      <c r="J154" s="360">
        <f t="shared" si="52"/>
        <v>-420.56</v>
      </c>
      <c r="K154" s="362">
        <f t="shared" si="52"/>
        <v>0.4516818774445893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130.09</v>
      </c>
      <c r="T154" s="362">
        <f t="shared" si="52"/>
        <v>1.6012941992142362</v>
      </c>
      <c r="U154" s="360">
        <f t="shared" si="52"/>
        <v>64</v>
      </c>
      <c r="V154" s="360">
        <f t="shared" si="52"/>
        <v>73.58999999999997</v>
      </c>
      <c r="W154" s="360">
        <f t="shared" si="52"/>
        <v>9.589999999999975</v>
      </c>
      <c r="X154" s="362">
        <f t="shared" si="52"/>
        <v>1.1498437499999996</v>
      </c>
      <c r="Y154" s="446">
        <f t="shared" si="42"/>
        <v>0.5210733665850884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14.82</v>
      </c>
      <c r="H155" s="360">
        <f t="shared" si="53"/>
        <v>-1.1799999999999997</v>
      </c>
      <c r="I155" s="362">
        <f t="shared" si="53"/>
        <v>0.92625</v>
      </c>
      <c r="J155" s="360">
        <f t="shared" si="53"/>
        <v>-29.18</v>
      </c>
      <c r="K155" s="362">
        <f t="shared" si="53"/>
        <v>0.33681818181818185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2.5</v>
      </c>
      <c r="T155" s="362">
        <f t="shared" si="53"/>
        <v>1.202922077922078</v>
      </c>
      <c r="U155" s="360">
        <f t="shared" si="53"/>
        <v>4</v>
      </c>
      <c r="V155" s="360">
        <f t="shared" si="53"/>
        <v>1.7599999999999998</v>
      </c>
      <c r="W155" s="360">
        <f t="shared" si="53"/>
        <v>-2.24</v>
      </c>
      <c r="X155" s="362">
        <f t="shared" si="53"/>
        <v>0.43999999999999995</v>
      </c>
      <c r="Y155" s="446">
        <f t="shared" si="42"/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24355</v>
      </c>
      <c r="F156" s="351">
        <f t="shared" si="54"/>
        <v>10917</v>
      </c>
      <c r="G156" s="351">
        <f t="shared" si="54"/>
        <v>11389.9</v>
      </c>
      <c r="H156" s="351">
        <f t="shared" si="54"/>
        <v>472.8999999999992</v>
      </c>
      <c r="I156" s="189">
        <f>G156/F156</f>
        <v>1.0433177612897315</v>
      </c>
      <c r="J156" s="351">
        <f t="shared" si="54"/>
        <v>-12965.1</v>
      </c>
      <c r="K156" s="189">
        <f>G156/E156</f>
        <v>0.4676616711147608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2264.8600000000006</v>
      </c>
      <c r="Q156" s="189">
        <f>E156/O156</f>
        <v>1.1025280962456554</v>
      </c>
      <c r="R156" s="351">
        <f t="shared" si="54"/>
        <v>6984.070000000001</v>
      </c>
      <c r="S156" s="351">
        <f t="shared" si="54"/>
        <v>4405.829999999999</v>
      </c>
      <c r="T156" s="189">
        <f>G156/R156</f>
        <v>1.6308398970800693</v>
      </c>
      <c r="U156" s="351">
        <f t="shared" si="54"/>
        <v>2782</v>
      </c>
      <c r="V156" s="351">
        <f t="shared" si="54"/>
        <v>2435.1400000000003</v>
      </c>
      <c r="W156" s="351">
        <f t="shared" si="54"/>
        <v>-346.85999999999996</v>
      </c>
      <c r="X156" s="189">
        <f>V156/U156</f>
        <v>0.8753199137311288</v>
      </c>
      <c r="Y156" s="189">
        <f t="shared" si="42"/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2800.45</v>
      </c>
      <c r="H160" s="348">
        <f t="shared" si="55"/>
        <v>-488.2000000000003</v>
      </c>
      <c r="I160" s="347">
        <f t="shared" si="55"/>
        <v>0.851550028127043</v>
      </c>
      <c r="J160" s="348">
        <f t="shared" si="55"/>
        <v>-5369.55</v>
      </c>
      <c r="K160" s="347">
        <f t="shared" si="55"/>
        <v>0.3427723378212974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-1236.69</v>
      </c>
      <c r="T160" s="347">
        <f t="shared" si="55"/>
        <v>0.6936717577294818</v>
      </c>
      <c r="U160" s="348">
        <f t="shared" si="55"/>
        <v>680</v>
      </c>
      <c r="V160" s="348">
        <f t="shared" si="55"/>
        <v>766.4199999999998</v>
      </c>
      <c r="W160" s="348">
        <f t="shared" si="55"/>
        <v>86.41999999999985</v>
      </c>
      <c r="X160" s="347">
        <f t="shared" si="55"/>
        <v>1.1270882352941174</v>
      </c>
      <c r="Y160" s="189">
        <f t="shared" si="42"/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2800.45</v>
      </c>
      <c r="H162" s="351">
        <f t="shared" si="57"/>
        <v>-508.2000000000003</v>
      </c>
      <c r="I162" s="189">
        <f>G162/F162</f>
        <v>0.84640261133695</v>
      </c>
      <c r="J162" s="351">
        <f t="shared" si="57"/>
        <v>-5543.95</v>
      </c>
      <c r="K162" s="189">
        <f>G162/E162</f>
        <v>0.3356083121614496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-1291.3300000000002</v>
      </c>
      <c r="T162" s="189">
        <f>G162/R162</f>
        <v>0.684408741427936</v>
      </c>
      <c r="U162" s="351">
        <f t="shared" si="57"/>
        <v>680</v>
      </c>
      <c r="V162" s="351">
        <f t="shared" si="57"/>
        <v>766.4199999999998</v>
      </c>
      <c r="W162" s="351">
        <f t="shared" si="57"/>
        <v>86.41999999999985</v>
      </c>
      <c r="X162" s="189">
        <f>V162/U162</f>
        <v>1.1270882352941174</v>
      </c>
      <c r="Y162" s="189">
        <f t="shared" si="42"/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2" sqref="C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227</v>
      </c>
      <c r="V3" s="502" t="s">
        <v>228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224</v>
      </c>
      <c r="G4" s="487" t="s">
        <v>31</v>
      </c>
      <c r="H4" s="475" t="s">
        <v>225</v>
      </c>
      <c r="I4" s="489" t="s">
        <v>226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230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229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69"/>
      <c r="H106" s="46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625.368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91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219</v>
      </c>
      <c r="V3" s="502" t="s">
        <v>220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215</v>
      </c>
      <c r="G4" s="487" t="s">
        <v>31</v>
      </c>
      <c r="H4" s="475" t="s">
        <v>216</v>
      </c>
      <c r="I4" s="489" t="s">
        <v>217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223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218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69"/>
      <c r="H106" s="46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625.368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>
        <f t="shared" si="45"/>
        <v>0.34</v>
      </c>
      <c r="W146" s="345">
        <f t="shared" si="45"/>
        <v>0.34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141</v>
      </c>
      <c r="V3" s="502" t="s">
        <v>136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139</v>
      </c>
      <c r="G4" s="487" t="s">
        <v>31</v>
      </c>
      <c r="H4" s="475" t="s">
        <v>129</v>
      </c>
      <c r="I4" s="489" t="s">
        <v>130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214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209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69"/>
      <c r="H106" s="46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69"/>
      <c r="H107" s="469"/>
      <c r="I107" s="273"/>
      <c r="J107" s="276"/>
    </row>
    <row r="108" spans="3:10" ht="15" hidden="1">
      <c r="C108" s="271"/>
      <c r="D108" s="4"/>
      <c r="F108" s="278"/>
      <c r="G108" s="470"/>
      <c r="H108" s="470"/>
      <c r="I108" s="279"/>
      <c r="J108" s="274"/>
    </row>
    <row r="109" spans="2:10" ht="16.5" hidden="1">
      <c r="B109" s="471" t="s">
        <v>165</v>
      </c>
      <c r="C109" s="472"/>
      <c r="D109" s="280"/>
      <c r="E109" s="434">
        <v>144.8304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91" t="s">
        <v>128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506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140</v>
      </c>
      <c r="V3" s="502" t="s">
        <v>124</v>
      </c>
      <c r="W3" s="502"/>
      <c r="X3" s="502"/>
      <c r="Y3" s="194"/>
    </row>
    <row r="4" spans="1:24" ht="22.5" customHeight="1">
      <c r="A4" s="493"/>
      <c r="B4" s="495"/>
      <c r="C4" s="496"/>
      <c r="D4" s="507"/>
      <c r="E4" s="497"/>
      <c r="F4" s="485" t="s">
        <v>138</v>
      </c>
      <c r="G4" s="487" t="s">
        <v>31</v>
      </c>
      <c r="H4" s="475" t="s">
        <v>122</v>
      </c>
      <c r="I4" s="489" t="s">
        <v>123</v>
      </c>
      <c r="J4" s="475" t="s">
        <v>132</v>
      </c>
      <c r="K4" s="4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137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508"/>
      <c r="E5" s="497"/>
      <c r="F5" s="486"/>
      <c r="G5" s="488"/>
      <c r="H5" s="476"/>
      <c r="I5" s="490"/>
      <c r="J5" s="476"/>
      <c r="K5" s="490"/>
      <c r="L5" s="478" t="s">
        <v>109</v>
      </c>
      <c r="M5" s="479"/>
      <c r="N5" s="480"/>
      <c r="O5" s="503" t="s">
        <v>125</v>
      </c>
      <c r="P5" s="504"/>
      <c r="Q5" s="505"/>
      <c r="R5" s="484" t="s">
        <v>127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9"/>
      <c r="H106" s="46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69"/>
      <c r="H107" s="469"/>
      <c r="I107" s="273"/>
      <c r="J107" s="276"/>
      <c r="Y107" s="199"/>
    </row>
    <row r="108" spans="3:25" ht="15">
      <c r="C108" s="271"/>
      <c r="D108" s="4"/>
      <c r="F108" s="278"/>
      <c r="G108" s="470"/>
      <c r="H108" s="470"/>
      <c r="I108" s="279"/>
      <c r="J108" s="274"/>
      <c r="Y108" s="199"/>
    </row>
    <row r="109" spans="2:25" ht="16.5">
      <c r="B109" s="471" t="s">
        <v>165</v>
      </c>
      <c r="C109" s="471"/>
      <c r="D109" s="280"/>
      <c r="E109" s="280">
        <f>3396166.95/1000</f>
        <v>3396.1669500000003</v>
      </c>
      <c r="F109" s="282" t="s">
        <v>166</v>
      </c>
      <c r="G109" s="469"/>
      <c r="H109" s="469"/>
      <c r="I109" s="283"/>
      <c r="J109" s="274"/>
      <c r="Y109" s="199"/>
    </row>
    <row r="110" spans="4:25" ht="15">
      <c r="D110" s="4"/>
      <c r="F110" s="278"/>
      <c r="G110" s="469"/>
      <c r="H110" s="46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A87" sqref="AA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91" t="s">
        <v>142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86"/>
    </row>
    <row r="2" spans="2:24" s="1" customFormat="1" ht="15.75" customHeight="1">
      <c r="B2" s="492"/>
      <c r="C2" s="492"/>
      <c r="D2" s="492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3"/>
      <c r="B3" s="495"/>
      <c r="C3" s="496" t="s">
        <v>0</v>
      </c>
      <c r="D3" s="497" t="s">
        <v>143</v>
      </c>
      <c r="E3" s="25"/>
      <c r="F3" s="498" t="s">
        <v>26</v>
      </c>
      <c r="G3" s="499"/>
      <c r="H3" s="499"/>
      <c r="I3" s="499"/>
      <c r="J3" s="500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09" t="s">
        <v>144</v>
      </c>
      <c r="U3" s="502" t="s">
        <v>145</v>
      </c>
      <c r="V3" s="502"/>
      <c r="W3" s="502"/>
      <c r="X3" s="194"/>
    </row>
    <row r="4" spans="1:23" ht="22.5" customHeight="1">
      <c r="A4" s="493"/>
      <c r="B4" s="495"/>
      <c r="C4" s="496"/>
      <c r="D4" s="497"/>
      <c r="E4" s="485" t="s">
        <v>146</v>
      </c>
      <c r="F4" s="487" t="s">
        <v>31</v>
      </c>
      <c r="G4" s="475" t="s">
        <v>147</v>
      </c>
      <c r="H4" s="489" t="s">
        <v>148</v>
      </c>
      <c r="I4" s="475" t="s">
        <v>149</v>
      </c>
      <c r="J4" s="48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9"/>
      <c r="U4" s="473" t="s">
        <v>152</v>
      </c>
      <c r="V4" s="475" t="s">
        <v>44</v>
      </c>
      <c r="W4" s="477" t="s">
        <v>43</v>
      </c>
    </row>
    <row r="5" spans="1:23" ht="67.5" customHeight="1">
      <c r="A5" s="494"/>
      <c r="B5" s="495"/>
      <c r="C5" s="496"/>
      <c r="D5" s="497"/>
      <c r="E5" s="486"/>
      <c r="F5" s="488"/>
      <c r="G5" s="476"/>
      <c r="H5" s="490"/>
      <c r="I5" s="476"/>
      <c r="J5" s="490"/>
      <c r="K5" s="478" t="s">
        <v>109</v>
      </c>
      <c r="L5" s="479"/>
      <c r="M5" s="480"/>
      <c r="N5" s="481" t="s">
        <v>153</v>
      </c>
      <c r="O5" s="482"/>
      <c r="P5" s="483"/>
      <c r="Q5" s="484" t="s">
        <v>154</v>
      </c>
      <c r="R5" s="484"/>
      <c r="S5" s="484"/>
      <c r="T5" s="490"/>
      <c r="U5" s="474"/>
      <c r="V5" s="476"/>
      <c r="W5" s="477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10"/>
      <c r="H104" s="510"/>
      <c r="I104" s="510"/>
      <c r="J104" s="510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69"/>
      <c r="H106" s="46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69"/>
      <c r="H107" s="46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 hidden="1">
      <c r="C108" s="271"/>
      <c r="F108" s="278"/>
      <c r="G108" s="470"/>
      <c r="H108" s="47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471" t="s">
        <v>165</v>
      </c>
      <c r="C109" s="472"/>
      <c r="D109" s="280">
        <f>3396166.95/1000</f>
        <v>3396.1669500000003</v>
      </c>
      <c r="E109" s="281"/>
      <c r="F109" s="282" t="s">
        <v>166</v>
      </c>
      <c r="G109" s="469"/>
      <c r="H109" s="46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69"/>
      <c r="H110" s="46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8" t="s">
        <v>167</v>
      </c>
      <c r="C111" s="512"/>
      <c r="D111" s="285">
        <v>0</v>
      </c>
      <c r="E111" s="286" t="s">
        <v>24</v>
      </c>
      <c r="F111" s="278"/>
      <c r="G111" s="469"/>
      <c r="H111" s="46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3"/>
      <c r="V113" s="513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39">
      <selection activeCell="W45" sqref="W4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91" t="s">
        <v>185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27"/>
      <c r="S1" s="372"/>
    </row>
    <row r="2" spans="2:19" s="1" customFormat="1" ht="15.75" customHeight="1">
      <c r="B2" s="492"/>
      <c r="C2" s="492"/>
      <c r="D2" s="492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3"/>
      <c r="B3" s="495"/>
      <c r="C3" s="496" t="s">
        <v>0</v>
      </c>
      <c r="D3" s="497" t="s">
        <v>186</v>
      </c>
      <c r="E3" s="25"/>
      <c r="F3" s="498" t="s">
        <v>26</v>
      </c>
      <c r="G3" s="499"/>
      <c r="H3" s="499"/>
      <c r="I3" s="499"/>
      <c r="J3" s="500"/>
      <c r="K3" s="64"/>
      <c r="L3" s="64"/>
      <c r="M3" s="64"/>
      <c r="N3" s="509" t="s">
        <v>187</v>
      </c>
      <c r="O3" s="502" t="s">
        <v>145</v>
      </c>
      <c r="P3" s="502"/>
      <c r="Q3" s="502"/>
      <c r="R3" s="502"/>
      <c r="S3" s="502"/>
    </row>
    <row r="4" spans="1:19" ht="22.5" customHeight="1">
      <c r="A4" s="493"/>
      <c r="B4" s="495"/>
      <c r="C4" s="496"/>
      <c r="D4" s="497"/>
      <c r="E4" s="485" t="s">
        <v>146</v>
      </c>
      <c r="F4" s="514" t="s">
        <v>31</v>
      </c>
      <c r="G4" s="475" t="s">
        <v>188</v>
      </c>
      <c r="H4" s="489" t="s">
        <v>189</v>
      </c>
      <c r="I4" s="475" t="s">
        <v>190</v>
      </c>
      <c r="J4" s="489" t="s">
        <v>191</v>
      </c>
      <c r="K4" s="65" t="s">
        <v>192</v>
      </c>
      <c r="L4" s="142" t="s">
        <v>96</v>
      </c>
      <c r="M4" s="66" t="s">
        <v>53</v>
      </c>
      <c r="N4" s="489"/>
      <c r="O4" s="473" t="s">
        <v>193</v>
      </c>
      <c r="P4" s="475" t="s">
        <v>44</v>
      </c>
      <c r="Q4" s="477" t="s">
        <v>43</v>
      </c>
      <c r="R4" s="375" t="s">
        <v>194</v>
      </c>
      <c r="S4" s="376" t="s">
        <v>53</v>
      </c>
    </row>
    <row r="5" spans="1:19" ht="67.5" customHeight="1">
      <c r="A5" s="494"/>
      <c r="B5" s="495"/>
      <c r="C5" s="496"/>
      <c r="D5" s="497"/>
      <c r="E5" s="486"/>
      <c r="F5" s="515"/>
      <c r="G5" s="476"/>
      <c r="H5" s="490"/>
      <c r="I5" s="476"/>
      <c r="J5" s="490"/>
      <c r="K5" s="478" t="s">
        <v>195</v>
      </c>
      <c r="L5" s="479"/>
      <c r="M5" s="480"/>
      <c r="N5" s="490"/>
      <c r="O5" s="474"/>
      <c r="P5" s="476"/>
      <c r="Q5" s="477"/>
      <c r="R5" s="478" t="s">
        <v>196</v>
      </c>
      <c r="S5" s="480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0"/>
      <c r="H89" s="510"/>
      <c r="I89" s="510"/>
      <c r="J89" s="510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9"/>
      <c r="H91" s="469"/>
      <c r="I91" s="273"/>
      <c r="J91" s="516"/>
      <c r="K91" s="516"/>
      <c r="L91" s="516"/>
      <c r="M91" s="516"/>
      <c r="N91" s="516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69"/>
      <c r="H92" s="469"/>
      <c r="I92" s="273"/>
      <c r="J92" s="517"/>
      <c r="K92" s="517"/>
      <c r="L92" s="517"/>
      <c r="M92" s="517"/>
      <c r="N92" s="517"/>
      <c r="O92" s="511"/>
      <c r="P92" s="511"/>
    </row>
    <row r="93" spans="3:14" ht="15.75" customHeight="1" hidden="1">
      <c r="C93" s="271"/>
      <c r="F93" s="429"/>
      <c r="G93" s="470"/>
      <c r="H93" s="470"/>
      <c r="I93" s="279"/>
      <c r="J93" s="516"/>
      <c r="K93" s="516"/>
      <c r="L93" s="516"/>
      <c r="M93" s="516"/>
      <c r="N93" s="516"/>
    </row>
    <row r="94" spans="2:14" ht="18.75" customHeight="1" hidden="1">
      <c r="B94" s="471" t="s">
        <v>165</v>
      </c>
      <c r="C94" s="472"/>
      <c r="D94" s="280" t="e">
        <f>'[3]ЧТКЕ'!$G$6/1000</f>
        <v>#VALUE!</v>
      </c>
      <c r="E94" s="281"/>
      <c r="F94" s="430" t="s">
        <v>166</v>
      </c>
      <c r="G94" s="469"/>
      <c r="H94" s="469"/>
      <c r="I94" s="283"/>
      <c r="J94" s="516"/>
      <c r="K94" s="516"/>
      <c r="L94" s="516"/>
      <c r="M94" s="516"/>
      <c r="N94" s="516"/>
    </row>
    <row r="95" spans="6:13" ht="9" customHeight="1" hidden="1">
      <c r="F95" s="429"/>
      <c r="G95" s="469"/>
      <c r="H95" s="469"/>
      <c r="I95" s="278"/>
      <c r="J95" s="281"/>
      <c r="K95" s="281"/>
      <c r="L95" s="281"/>
      <c r="M95" s="281"/>
    </row>
    <row r="96" spans="2:13" ht="22.5" customHeight="1" hidden="1">
      <c r="B96" s="468" t="s">
        <v>167</v>
      </c>
      <c r="C96" s="512"/>
      <c r="D96" s="285">
        <v>0</v>
      </c>
      <c r="E96" s="286" t="s">
        <v>24</v>
      </c>
      <c r="F96" s="429"/>
      <c r="G96" s="469"/>
      <c r="H96" s="46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8"/>
      <c r="P98" s="518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2018-06-08T07:06:07Z</cp:lastPrinted>
  <dcterms:created xsi:type="dcterms:W3CDTF">2003-07-28T11:27:56Z</dcterms:created>
  <dcterms:modified xsi:type="dcterms:W3CDTF">2018-06-11T07:30:25Z</dcterms:modified>
  <cp:category/>
  <cp:version/>
  <cp:contentType/>
  <cp:contentStatus/>
</cp:coreProperties>
</file>